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2021利德衡\"/>
    </mc:Choice>
  </mc:AlternateContent>
  <xr:revisionPtr revIDLastSave="0" documentId="13_ncr:1_{C0983C25-FFE9-4FED-998D-17E4D251AE05}" xr6:coauthVersionLast="47" xr6:coauthVersionMax="47" xr10:uidLastSave="{00000000-0000-0000-0000-000000000000}"/>
  <bookViews>
    <workbookView xWindow="-120" yWindow="-120" windowWidth="19440" windowHeight="15000" tabRatio="834"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9" r:id="rId24"/>
    <sheet name="基准地价修正" sheetId="43" state="hidden" r:id="rId25"/>
    <sheet name="收益法" sheetId="15" r:id="rId26"/>
    <sheet name="收益法 (元)" sheetId="67" state="hidden" r:id="rId27"/>
    <sheet name="收益法 (地下车库)" sheetId="78"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7">'收益法 (地下车库)'!$A$1:$F$43,'收益法 (地下车库)'!$H$3:$M$29,'收益法 (地下车库)'!$A$46:$F$71,'收益法 (地下车库)'!$I$46:$N$65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1">'数据-基础表'!$A$1:$AL$13</definedName>
    <definedName name="_xlnm.Print_Area" localSheetId="36">'土地比较法-工业'!$A$1:$K$61,'土地比较法-工业'!$A$64:$M$121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19" i="1" l="1"/>
  <c r="Y19" i="1" l="1"/>
  <c r="D14" i="9"/>
  <c r="V19" i="1"/>
  <c r="N14" i="1" l="1"/>
  <c r="I46" i="39"/>
  <c r="G46" i="39"/>
  <c r="E46" i="39"/>
  <c r="I38" i="39"/>
  <c r="G38" i="39"/>
  <c r="E38" i="39"/>
  <c r="I11" i="39"/>
  <c r="G11" i="39"/>
  <c r="E11" i="39"/>
  <c r="I5" i="39"/>
  <c r="G5" i="39"/>
  <c r="E5" i="39"/>
  <c r="I7" i="39"/>
  <c r="G7" i="39"/>
  <c r="E7" i="39"/>
  <c r="P71" i="39"/>
  <c r="Q71" i="39"/>
  <c r="R71" i="39" s="1"/>
  <c r="E71" i="39"/>
  <c r="F71" i="39"/>
  <c r="G71" i="39" s="1"/>
  <c r="H71" i="39" s="1"/>
  <c r="I71" i="39" s="1"/>
  <c r="J71" i="39" s="1"/>
  <c r="K71" i="39" s="1"/>
  <c r="L71" i="39" s="1"/>
  <c r="M71" i="39" s="1"/>
  <c r="N71" i="39" s="1"/>
  <c r="O71" i="39" s="1"/>
  <c r="D71" i="39"/>
  <c r="D39" i="43"/>
  <c r="G41" i="43"/>
  <c r="D29" i="43"/>
  <c r="G60" i="43"/>
  <c r="G61" i="43"/>
  <c r="G62" i="43"/>
  <c r="G63" i="43"/>
  <c r="G64" i="43"/>
  <c r="G65" i="43"/>
  <c r="G66" i="43"/>
  <c r="G67" i="43"/>
  <c r="G59" i="43"/>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Y7" i="1"/>
  <c r="Y6" i="1"/>
  <c r="O20" i="1"/>
  <c r="O19" i="1"/>
  <c r="AL13" i="3"/>
  <c r="G20" i="6"/>
  <c r="F19" i="6"/>
  <c r="C33" i="77"/>
  <c r="C30" i="77"/>
  <c r="C29" i="77"/>
  <c r="I13" i="3"/>
  <c r="K13" i="3"/>
  <c r="C32" i="77"/>
  <c r="C26" i="77"/>
  <c r="B26" i="77"/>
  <c r="D26" i="77" s="1"/>
  <c r="G13" i="4"/>
  <c r="L48" i="78"/>
  <c r="F13" i="78"/>
  <c r="F42" i="78"/>
  <c r="F38" i="78"/>
  <c r="M24" i="78"/>
  <c r="F26" i="78"/>
  <c r="M8" i="78"/>
  <c r="F37" i="78"/>
  <c r="F36" i="78"/>
  <c r="M22" i="78"/>
  <c r="C14" i="78"/>
  <c r="M6" i="78"/>
  <c r="L47" i="78"/>
  <c r="M29" i="78"/>
  <c r="F40" i="78"/>
  <c r="F16" i="78"/>
  <c r="F7" i="78"/>
  <c r="M27" i="78"/>
  <c r="M26" i="78"/>
  <c r="M28" i="78"/>
  <c r="F6" i="78"/>
  <c r="F8" i="78"/>
  <c r="C76" i="78"/>
  <c r="J15" i="78"/>
  <c r="F43" i="78"/>
  <c r="M9" i="78"/>
  <c r="F9" i="78"/>
  <c r="M23" i="78"/>
  <c r="F65" i="78" l="1"/>
  <c r="C18" i="78"/>
  <c r="C15" i="78"/>
  <c r="C6" i="78"/>
  <c r="F66" i="78"/>
  <c r="F50" i="78"/>
  <c r="M7" i="78"/>
  <c r="N59" i="78"/>
  <c r="L59" i="78"/>
  <c r="L58" i="78"/>
  <c r="M59" i="78"/>
  <c r="Q71" i="78"/>
  <c r="C27" i="78"/>
  <c r="F64" i="78"/>
  <c r="J6" i="78"/>
  <c r="F51" i="78"/>
  <c r="C49" i="78" s="1"/>
  <c r="F68" i="78"/>
  <c r="F71" i="78"/>
  <c r="L57" i="78"/>
  <c r="L56" i="78"/>
  <c r="J57" i="78"/>
  <c r="J55" i="78" s="1"/>
  <c r="J58" i="78" s="1"/>
  <c r="Q50" i="78" s="1"/>
  <c r="J53" i="78"/>
  <c r="J60" i="78"/>
  <c r="Q48" i="78" s="1"/>
  <c r="L60" i="78"/>
  <c r="J59" i="78"/>
  <c r="I54" i="78"/>
  <c r="C17" i="78"/>
  <c r="C16" i="78"/>
  <c r="C19" i="78" l="1"/>
  <c r="Q66" i="78"/>
  <c r="Q57" i="78"/>
  <c r="F1" i="78"/>
  <c r="Q52" i="78"/>
  <c r="L46" i="78"/>
  <c r="Q61" i="78"/>
  <c r="Q74" i="78"/>
  <c r="J18" i="78"/>
  <c r="Q60" i="78"/>
  <c r="Q73" i="78"/>
  <c r="C33" i="78"/>
  <c r="C32" i="78"/>
  <c r="C20" i="78" l="1"/>
  <c r="C26" i="78"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B16" i="72" s="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5" i="72"/>
  <c r="B67" i="72"/>
  <c r="B66" i="72"/>
  <c r="B10" i="72"/>
  <c r="C53" i="10"/>
  <c r="B51" i="10"/>
  <c r="B19" i="72"/>
  <c r="A18" i="51"/>
  <c r="B13" i="72" s="1"/>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N49" i="71"/>
  <c r="B50" i="71" s="1"/>
  <c r="B51" i="7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AA35" i="71"/>
  <c r="O35" i="71"/>
  <c r="Y35" i="71"/>
  <c r="Z35" i="71" s="1"/>
  <c r="N35" i="71"/>
  <c r="Q34" i="71"/>
  <c r="AB34" i="71" s="1"/>
  <c r="P34" i="71"/>
  <c r="O34" i="71"/>
  <c r="Y34" i="71"/>
  <c r="Z34" i="71" s="1"/>
  <c r="N34" i="71"/>
  <c r="X34" i="71" s="1"/>
  <c r="Q33" i="71"/>
  <c r="F34" i="71" s="1"/>
  <c r="F35" i="71" s="1"/>
  <c r="F36" i="71" s="1"/>
  <c r="V36" i="71" s="1"/>
  <c r="P33" i="71"/>
  <c r="AA33" i="71" s="1"/>
  <c r="O33" i="71"/>
  <c r="N33" i="71"/>
  <c r="D33" i="71"/>
  <c r="Q32" i="71"/>
  <c r="AB32" i="71" s="1"/>
  <c r="P32" i="71"/>
  <c r="O32" i="71"/>
  <c r="Y32" i="71"/>
  <c r="Z32" i="71" s="1"/>
  <c r="N32" i="71"/>
  <c r="X29" i="71" s="1"/>
  <c r="Q31" i="71"/>
  <c r="AB31" i="71"/>
  <c r="P31" i="71"/>
  <c r="O31" i="71"/>
  <c r="Y31" i="71" s="1"/>
  <c r="Z31" i="71" s="1"/>
  <c r="N31" i="71"/>
  <c r="Q30" i="71"/>
  <c r="P30" i="71"/>
  <c r="AA29" i="71" s="1"/>
  <c r="O30" i="71"/>
  <c r="Y30" i="71"/>
  <c r="Z30" i="71" s="1"/>
  <c r="N30" i="71"/>
  <c r="Q29" i="71"/>
  <c r="F30" i="71" s="1"/>
  <c r="F31" i="71" s="1"/>
  <c r="F32" i="71" s="1"/>
  <c r="V32" i="71" s="1"/>
  <c r="P29" i="71"/>
  <c r="O29" i="71"/>
  <c r="N29" i="71"/>
  <c r="D29" i="71"/>
  <c r="Q28" i="71"/>
  <c r="P28" i="71"/>
  <c r="AA26" i="71" s="1"/>
  <c r="O28" i="71"/>
  <c r="Y28" i="71"/>
  <c r="Z28" i="71" s="1"/>
  <c r="N28" i="71"/>
  <c r="Q27" i="71"/>
  <c r="P27" i="71"/>
  <c r="O27" i="71"/>
  <c r="N27" i="71"/>
  <c r="Q26" i="71"/>
  <c r="AB26" i="71" s="1"/>
  <c r="P26" i="71"/>
  <c r="O26" i="71"/>
  <c r="N26" i="71"/>
  <c r="Q25" i="71"/>
  <c r="F26" i="71" s="1"/>
  <c r="F27" i="71" s="1"/>
  <c r="F28" i="71" s="1"/>
  <c r="V28" i="71" s="1"/>
  <c r="P25" i="71"/>
  <c r="O25" i="71"/>
  <c r="N25" i="71"/>
  <c r="X22" i="71" s="1"/>
  <c r="D25" i="71"/>
  <c r="O24" i="71"/>
  <c r="Y21" i="71" s="1"/>
  <c r="Z21" i="71" s="1"/>
  <c r="N24" i="71"/>
  <c r="B26" i="71"/>
  <c r="B27" i="71" s="1"/>
  <c r="B28" i="71" s="1"/>
  <c r="S28" i="71" s="1"/>
  <c r="X25" i="71"/>
  <c r="B30" i="71"/>
  <c r="B31" i="71" s="1"/>
  <c r="B32" i="71"/>
  <c r="S32" i="71" s="1"/>
  <c r="E34" i="71"/>
  <c r="E35" i="71" s="1"/>
  <c r="E36" i="71" s="1"/>
  <c r="U36" i="71" s="1"/>
  <c r="N64" i="71"/>
  <c r="E30" i="71"/>
  <c r="E31" i="71"/>
  <c r="E32" i="71" s="1"/>
  <c r="U32" i="71" s="1"/>
  <c r="C26" i="71"/>
  <c r="D26" i="71" s="1"/>
  <c r="X26" i="71"/>
  <c r="X27" i="71"/>
  <c r="X28" i="71"/>
  <c r="C30" i="71"/>
  <c r="C31" i="71" s="1"/>
  <c r="Y29" i="71"/>
  <c r="Z29" i="71" s="1"/>
  <c r="AB29" i="71"/>
  <c r="AA30" i="71"/>
  <c r="AA31" i="71"/>
  <c r="AA32" i="71"/>
  <c r="C34" i="71"/>
  <c r="Y33" i="71"/>
  <c r="Z33" i="71" s="1"/>
  <c r="AB33" i="71"/>
  <c r="AA34" i="71"/>
  <c r="F47" i="71"/>
  <c r="F48" i="71"/>
  <c r="V48" i="71" s="1"/>
  <c r="C24" i="71"/>
  <c r="C23" i="71" s="1"/>
  <c r="B24" i="71"/>
  <c r="B23" i="71"/>
  <c r="B22" i="71" s="1"/>
  <c r="X21" i="71"/>
  <c r="X23" i="71"/>
  <c r="C27" i="71"/>
  <c r="D27" i="71" s="1"/>
  <c r="D30" i="71"/>
  <c r="C35" i="71"/>
  <c r="D34" i="71"/>
  <c r="C39" i="71"/>
  <c r="D38" i="71"/>
  <c r="C43" i="71"/>
  <c r="D43" i="71"/>
  <c r="D42" i="71"/>
  <c r="C47" i="71"/>
  <c r="D47" i="71" s="1"/>
  <c r="D46" i="71"/>
  <c r="P24" i="71"/>
  <c r="AA3" i="71" s="1"/>
  <c r="E51" i="71"/>
  <c r="E52" i="71"/>
  <c r="U52" i="71" s="1"/>
  <c r="E55" i="71"/>
  <c r="E56" i="71" s="1"/>
  <c r="U56" i="71" s="1"/>
  <c r="E59" i="71"/>
  <c r="E60" i="71"/>
  <c r="U60" i="71" s="1"/>
  <c r="Q61" i="71"/>
  <c r="U64" i="71"/>
  <c r="E63" i="71"/>
  <c r="E62" i="71" s="1"/>
  <c r="Q24" i="71"/>
  <c r="C51" i="71"/>
  <c r="D51" i="71" s="1"/>
  <c r="D50" i="71"/>
  <c r="C55" i="71"/>
  <c r="D55" i="71" s="1"/>
  <c r="D54" i="71"/>
  <c r="C59" i="71"/>
  <c r="C60" i="71" s="1"/>
  <c r="D58" i="71"/>
  <c r="Q63" i="71"/>
  <c r="T64" i="71"/>
  <c r="O64" i="71"/>
  <c r="D64" i="71"/>
  <c r="C63" i="71"/>
  <c r="O63" i="71" s="1"/>
  <c r="Q64" i="71"/>
  <c r="C67" i="71"/>
  <c r="D67" i="71" s="1"/>
  <c r="E67" i="71"/>
  <c r="E66" i="71"/>
  <c r="D68" i="71"/>
  <c r="C71" i="71"/>
  <c r="C70" i="71" s="1"/>
  <c r="D70" i="71" s="1"/>
  <c r="E71" i="71"/>
  <c r="E70" i="71"/>
  <c r="D72" i="71"/>
  <c r="C75" i="71"/>
  <c r="C74" i="71" s="1"/>
  <c r="D74" i="71" s="1"/>
  <c r="E75" i="71"/>
  <c r="E74" i="71"/>
  <c r="D76" i="71"/>
  <c r="C79" i="71"/>
  <c r="D79" i="71" s="1"/>
  <c r="C83" i="71"/>
  <c r="T24" i="71"/>
  <c r="S24" i="71"/>
  <c r="F24" i="71"/>
  <c r="F23" i="71"/>
  <c r="F22" i="71" s="1"/>
  <c r="AB21" i="71"/>
  <c r="AB23" i="71"/>
  <c r="E24" i="71"/>
  <c r="E23" i="71" s="1"/>
  <c r="E22" i="71" s="1"/>
  <c r="AA21" i="71"/>
  <c r="AA23" i="71"/>
  <c r="D24" i="71"/>
  <c r="U24" i="71" s="1"/>
  <c r="C62" i="71"/>
  <c r="D62" i="71" s="1"/>
  <c r="D63" i="71"/>
  <c r="D59" i="71"/>
  <c r="C78" i="71"/>
  <c r="D78" i="71" s="1"/>
  <c r="D71" i="71"/>
  <c r="D83" i="71"/>
  <c r="C82" i="71"/>
  <c r="D82" i="71" s="1"/>
  <c r="D75" i="71"/>
  <c r="C66" i="71"/>
  <c r="D66" i="71" s="1"/>
  <c r="C56" i="71"/>
  <c r="T56" i="71" s="1"/>
  <c r="C52" i="71"/>
  <c r="T52" i="71" s="1"/>
  <c r="P63" i="71"/>
  <c r="C48" i="71"/>
  <c r="T48" i="71" s="1"/>
  <c r="C40" i="71"/>
  <c r="T40" i="71" s="1"/>
  <c r="D39" i="71"/>
  <c r="C36" i="71"/>
  <c r="T36" i="71" s="1"/>
  <c r="D35" i="71"/>
  <c r="C28" i="71"/>
  <c r="T28" i="71" s="1"/>
  <c r="O62" i="71"/>
  <c r="O61" i="71"/>
  <c r="D28" i="71"/>
  <c r="D36" i="71"/>
  <c r="D40" i="71"/>
  <c r="D48" i="71"/>
  <c r="D52"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E6" i="70" s="1"/>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s="1"/>
  <c r="AA34" i="39" s="1"/>
  <c r="D107" i="39"/>
  <c r="E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H22" i="35"/>
  <c r="AB22" i="35"/>
  <c r="W28" i="35"/>
  <c r="U31" i="35"/>
  <c r="W22" i="35"/>
  <c r="S31" i="35"/>
  <c r="F36" i="34"/>
  <c r="J35" i="34"/>
  <c r="W9" i="34"/>
  <c r="U34" i="34"/>
  <c r="H39" i="33"/>
  <c r="AB39" i="33"/>
  <c r="U33" i="33"/>
  <c r="S40" i="33"/>
  <c r="W39" i="33"/>
  <c r="H39" i="37"/>
  <c r="AB39" i="37"/>
  <c r="F11" i="40"/>
  <c r="AA11" i="40" s="1"/>
  <c r="H11" i="40"/>
  <c r="AB11" i="40" s="1"/>
  <c r="W8" i="40"/>
  <c r="AB39" i="40"/>
  <c r="AC40" i="40"/>
  <c r="AA9" i="40"/>
  <c r="AC9" i="40"/>
  <c r="U9" i="40"/>
  <c r="S34" i="40"/>
  <c r="U38" i="40"/>
  <c r="S40" i="40"/>
  <c r="W31" i="40"/>
  <c r="U34" i="40"/>
  <c r="S38" i="40"/>
  <c r="U40" i="40"/>
  <c r="F42" i="39"/>
  <c r="AA42" i="39" s="1"/>
  <c r="F41" i="39"/>
  <c r="S41" i="39" s="1"/>
  <c r="H40" i="39"/>
  <c r="AB40" i="39"/>
  <c r="H39" i="39"/>
  <c r="U39" i="39" s="1"/>
  <c r="E109" i="39"/>
  <c r="F109" i="39" s="1"/>
  <c r="G109" i="39" s="1"/>
  <c r="H109" i="39" s="1"/>
  <c r="I109" i="39" s="1"/>
  <c r="J109" i="39" s="1"/>
  <c r="K109" i="39" s="1"/>
  <c r="L109" i="39" s="1"/>
  <c r="M109" i="39" s="1"/>
  <c r="H31" i="39"/>
  <c r="AB31" i="39" s="1"/>
  <c r="F31" i="39"/>
  <c r="AA31" i="39" s="1"/>
  <c r="E101" i="39"/>
  <c r="F101" i="39" s="1"/>
  <c r="G101" i="39" s="1"/>
  <c r="H17" i="39"/>
  <c r="AB17" i="39" s="1"/>
  <c r="F17" i="39"/>
  <c r="AA17" i="39" s="1"/>
  <c r="J23" i="40"/>
  <c r="AC23" i="40"/>
  <c r="F21" i="40"/>
  <c r="AA21" i="40"/>
  <c r="J21" i="40"/>
  <c r="W21" i="40"/>
  <c r="H42" i="39"/>
  <c r="AB42" i="39" s="1"/>
  <c r="J31" i="39"/>
  <c r="H27" i="39"/>
  <c r="U27" i="39" s="1"/>
  <c r="J17" i="39"/>
  <c r="W17" i="39" s="1"/>
  <c r="J27" i="39"/>
  <c r="AC27" i="39" s="1"/>
  <c r="F27" i="39"/>
  <c r="F11" i="21"/>
  <c r="S11" i="21"/>
  <c r="S40" i="21"/>
  <c r="U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AZ586" i="3" s="1"/>
  <c r="BA585" i="3"/>
  <c r="AZ585" i="3" s="1"/>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BL493" i="3" s="1"/>
  <c r="AZ493" i="3" s="1"/>
  <c r="S505" i="31"/>
  <c r="S503" i="31"/>
  <c r="S501" i="31"/>
  <c r="S499" i="31"/>
  <c r="O27" i="31"/>
  <c r="O28" i="31"/>
  <c r="O26" i="31"/>
  <c r="M27" i="31"/>
  <c r="M28" i="31"/>
  <c r="M26" i="31"/>
  <c r="I26" i="31"/>
  <c r="I25" i="31"/>
  <c r="S25" i="31"/>
  <c r="S22" i="31" s="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U40" i="39"/>
  <c r="S42" i="39"/>
  <c r="W14" i="39"/>
  <c r="W9" i="39"/>
  <c r="W8" i="39"/>
  <c r="J19" i="40"/>
  <c r="AC19" i="40" s="1"/>
  <c r="J50" i="40"/>
  <c r="H103" i="9"/>
  <c r="D8" i="53" s="1"/>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W11" i="39" s="1"/>
  <c r="F11" i="39"/>
  <c r="AA11" i="39" s="1"/>
  <c r="G4" i="4"/>
  <c r="I4" i="4"/>
  <c r="K5" i="4" s="1"/>
  <c r="B47" i="48" s="1"/>
  <c r="A2" i="9"/>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AZ549" i="3"/>
  <c r="AZ496" i="3"/>
  <c r="G548" i="3"/>
  <c r="G538" i="3"/>
  <c r="G520" i="3"/>
  <c r="G502" i="3"/>
  <c r="BS5" i="3"/>
  <c r="BP5" i="3"/>
  <c r="G29" i="6" s="1"/>
  <c r="BN5" i="3"/>
  <c r="AZ343" i="3"/>
  <c r="BK5" i="3"/>
  <c r="BI5" i="3"/>
  <c r="BG5" i="3"/>
  <c r="BE5" i="3"/>
  <c r="BC5" i="3"/>
  <c r="G17" i="3"/>
  <c r="BA17" i="3"/>
  <c r="BT5" i="3"/>
  <c r="AZ350" i="3"/>
  <c r="AZ352" i="3"/>
  <c r="AZ360" i="3"/>
  <c r="AZ368" i="3"/>
  <c r="BA15" i="3"/>
  <c r="AZ15" i="3"/>
  <c r="BB5" i="3"/>
  <c r="BR5" i="3"/>
  <c r="G28" i="6" s="1"/>
  <c r="AZ380" i="3"/>
  <c r="AZ388" i="3"/>
  <c r="AZ396" i="3"/>
  <c r="AZ499" i="3"/>
  <c r="E8" i="6"/>
  <c r="F27" i="6" s="1"/>
  <c r="G509" i="3"/>
  <c r="AZ491" i="3"/>
  <c r="AZ390" i="3"/>
  <c r="U36" i="40"/>
  <c r="F81" i="43"/>
  <c r="H83" i="43" s="1"/>
  <c r="F48" i="43"/>
  <c r="H52" i="43" s="1"/>
  <c r="F70" i="43"/>
  <c r="H73" i="43" s="1"/>
  <c r="M11" i="43"/>
  <c r="F39" i="43"/>
  <c r="F35" i="43"/>
  <c r="F6" i="1"/>
  <c r="U17" i="39"/>
  <c r="S14" i="35"/>
  <c r="U43" i="21"/>
  <c r="U35" i="21"/>
  <c r="AC35" i="21"/>
  <c r="U10" i="21"/>
  <c r="G10" i="1"/>
  <c r="AZ563" i="3"/>
  <c r="W37" i="37"/>
  <c r="AC44" i="34"/>
  <c r="U13" i="37"/>
  <c r="AA12" i="40"/>
  <c r="J37" i="33"/>
  <c r="W37" i="33"/>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D93" i="9"/>
  <c r="E15" i="6"/>
  <c r="E60" i="40" s="1"/>
  <c r="K6" i="1"/>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S30" i="40"/>
  <c r="AA19" i="40"/>
  <c r="S28" i="40"/>
  <c r="U21" i="40"/>
  <c r="AB19" i="40"/>
  <c r="S37" i="39"/>
  <c r="U35" i="39"/>
  <c r="AB27" i="39"/>
  <c r="S25" i="39"/>
  <c r="J21" i="39"/>
  <c r="AC21" i="39" s="1"/>
  <c r="F21" i="39"/>
  <c r="AA21" i="39" s="1"/>
  <c r="H21" i="39"/>
  <c r="AB21" i="39" s="1"/>
  <c r="S17" i="39"/>
  <c r="S15" i="39"/>
  <c r="AA12" i="39"/>
  <c r="S9" i="39"/>
  <c r="AC13" i="39"/>
  <c r="U13" i="36"/>
  <c r="AC27" i="36"/>
  <c r="U26" i="36"/>
  <c r="S33" i="36"/>
  <c r="S27" i="36"/>
  <c r="S29" i="36"/>
  <c r="AC26" i="36"/>
  <c r="W14" i="36"/>
  <c r="U22" i="36"/>
  <c r="S16" i="36"/>
  <c r="AA25" i="36"/>
  <c r="S24" i="36"/>
  <c r="U24" i="36"/>
  <c r="U23" i="36"/>
  <c r="AB20" i="36"/>
  <c r="U16" i="36"/>
  <c r="S14" i="36"/>
  <c r="U10" i="36"/>
  <c r="W10" i="36"/>
  <c r="S23" i="35"/>
  <c r="W24" i="35"/>
  <c r="AB13" i="35"/>
  <c r="U29" i="35"/>
  <c r="U28" i="35"/>
  <c r="AB27"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AB40" i="37"/>
  <c r="S26" i="37"/>
  <c r="AC9" i="37"/>
  <c r="AC29" i="37"/>
  <c r="U29" i="37"/>
  <c r="S32" i="37"/>
  <c r="W30" i="37"/>
  <c r="AA38" i="37"/>
  <c r="U32" i="37"/>
  <c r="W38" i="37"/>
  <c r="AC35" i="37"/>
  <c r="W39" i="37"/>
  <c r="S30" i="37"/>
  <c r="S37" i="37"/>
  <c r="J17" i="37"/>
  <c r="W17" i="37" s="1"/>
  <c r="G73" i="37"/>
  <c r="F17" i="37"/>
  <c r="AA17" i="37"/>
  <c r="F75" i="37"/>
  <c r="G75" i="37" s="1"/>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A45" i="34"/>
  <c r="W34" i="34"/>
  <c r="AA25" i="34"/>
  <c r="S17" i="34"/>
  <c r="AA29" i="34"/>
  <c r="U27" i="34"/>
  <c r="S23" i="34"/>
  <c r="U15" i="34"/>
  <c r="S10" i="34"/>
  <c r="S13" i="34"/>
  <c r="H67" i="34"/>
  <c r="H10" i="34"/>
  <c r="AB10" i="34" s="1"/>
  <c r="F11" i="34"/>
  <c r="S11" i="34"/>
  <c r="W42" i="33"/>
  <c r="S27" i="33"/>
  <c r="S32" i="33"/>
  <c r="AA29" i="33"/>
  <c r="AB29" i="33"/>
  <c r="W38" i="33"/>
  <c r="H41" i="33"/>
  <c r="F121" i="33"/>
  <c r="G121" i="33" s="1"/>
  <c r="H121" i="33" s="1"/>
  <c r="I121" i="33" s="1"/>
  <c r="J121" i="33" s="1"/>
  <c r="K121" i="33" s="1"/>
  <c r="L121" i="33" s="1"/>
  <c r="M121" i="33" s="1"/>
  <c r="U42" i="33"/>
  <c r="F36" i="33"/>
  <c r="S36" i="33" s="1"/>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AB14" i="33"/>
  <c r="W43" i="21"/>
  <c r="W36" i="21"/>
  <c r="W41" i="21"/>
  <c r="AB39" i="21"/>
  <c r="AA43" i="21"/>
  <c r="S39" i="21"/>
  <c r="AA38" i="21"/>
  <c r="AA36" i="21"/>
  <c r="AC40" i="21"/>
  <c r="J15" i="21"/>
  <c r="W15" i="21"/>
  <c r="G77" i="21"/>
  <c r="F23" i="21"/>
  <c r="S23" i="21"/>
  <c r="E85" i="21"/>
  <c r="AC11" i="21"/>
  <c r="AA14" i="21"/>
  <c r="AB8" i="21"/>
  <c r="S8" i="21"/>
  <c r="M3" i="43"/>
  <c r="M1" i="43"/>
  <c r="N8" i="43"/>
  <c r="F34" i="67"/>
  <c r="F62" i="67" s="1"/>
  <c r="M20" i="67"/>
  <c r="F34" i="15"/>
  <c r="F62" i="15" s="1"/>
  <c r="BA13" i="3"/>
  <c r="BA5" i="3" s="1"/>
  <c r="BL17" i="3"/>
  <c r="AZ17" i="3" s="1"/>
  <c r="G30" i="6"/>
  <c r="G31" i="6" s="1"/>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s="1"/>
  <c r="E48" i="43"/>
  <c r="B46" i="43"/>
  <c r="E70" i="43"/>
  <c r="B68" i="43"/>
  <c r="F100" i="43"/>
  <c r="H17" i="43"/>
  <c r="H85" i="43"/>
  <c r="H81" i="43"/>
  <c r="H84" i="43"/>
  <c r="H8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c r="B14" i="72" s="1"/>
  <c r="C52" i="37"/>
  <c r="D52" i="37" s="1"/>
  <c r="A4" i="51"/>
  <c r="B6" i="72" s="1"/>
  <c r="C48" i="35"/>
  <c r="D48" i="35" s="1"/>
  <c r="C4" i="12"/>
  <c r="H55" i="43"/>
  <c r="H72" i="43"/>
  <c r="L20" i="6"/>
  <c r="E56" i="39"/>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S14" i="39"/>
  <c r="AA14" i="39"/>
  <c r="U43" i="39"/>
  <c r="AB43" i="39"/>
  <c r="AA27" i="39"/>
  <c r="S27" i="39"/>
  <c r="AC17" i="39"/>
  <c r="W31" i="39"/>
  <c r="AC31" i="39"/>
  <c r="S23" i="39"/>
  <c r="AA45"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E7" i="70"/>
  <c r="S39" i="40"/>
  <c r="S12" i="33"/>
  <c r="AA12" i="33"/>
  <c r="W21" i="39"/>
  <c r="S26" i="35"/>
  <c r="U9"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I111" i="33"/>
  <c r="J111" i="33" s="1"/>
  <c r="K111" i="33" s="1"/>
  <c r="L111" i="33" s="1"/>
  <c r="M111" i="33" s="1"/>
  <c r="J36" i="33"/>
  <c r="H36" i="33"/>
  <c r="U36" i="33" s="1"/>
  <c r="AA36" i="33"/>
  <c r="AC32" i="33"/>
  <c r="W32" i="33"/>
  <c r="AB27" i="33"/>
  <c r="H91" i="33"/>
  <c r="I91" i="33" s="1"/>
  <c r="J91" i="33"/>
  <c r="K91" i="33" s="1"/>
  <c r="L91" i="33" s="1"/>
  <c r="M91" i="33" s="1"/>
  <c r="J27" i="33"/>
  <c r="W27" i="33" s="1"/>
  <c r="AB25" i="33"/>
  <c r="S25" i="33"/>
  <c r="AA25" i="33"/>
  <c r="G87" i="33"/>
  <c r="H87" i="33"/>
  <c r="I87" i="33" s="1"/>
  <c r="J87" i="33"/>
  <c r="K87" i="33" s="1"/>
  <c r="L87" i="33" s="1"/>
  <c r="M87" i="33" s="1"/>
  <c r="J25" i="33"/>
  <c r="W25" i="33" s="1"/>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R22" i="31"/>
  <c r="AP7" i="1"/>
  <c r="S33" i="21"/>
  <c r="AA33" i="21"/>
  <c r="W32" i="21"/>
  <c r="AA32" i="21"/>
  <c r="S32" i="21"/>
  <c r="W9" i="21"/>
  <c r="AC9" i="21"/>
  <c r="AB32" i="21"/>
  <c r="U32" i="21"/>
  <c r="AA10" i="21"/>
  <c r="W23" i="37"/>
  <c r="AC23" i="37"/>
  <c r="U11" i="37"/>
  <c r="I63" i="37"/>
  <c r="J63" i="37" s="1"/>
  <c r="K63" i="37"/>
  <c r="L63" i="37" s="1"/>
  <c r="M63" i="37" s="1"/>
  <c r="J11" i="37"/>
  <c r="W10" i="37"/>
  <c r="AC10" i="37"/>
  <c r="AC10" i="34"/>
  <c r="W10" i="34"/>
  <c r="H70" i="34"/>
  <c r="I70" i="34" s="1"/>
  <c r="J70" i="34" s="1"/>
  <c r="K70" i="34" s="1"/>
  <c r="L70" i="34" s="1"/>
  <c r="M70" i="34" s="1"/>
  <c r="J11" i="34"/>
  <c r="AC36" i="33"/>
  <c r="W36" i="33"/>
  <c r="AB36" i="33"/>
  <c r="AC25" i="33"/>
  <c r="AA23" i="33"/>
  <c r="S23" i="33"/>
  <c r="U19" i="33"/>
  <c r="S17" i="33"/>
  <c r="U17" i="33"/>
  <c r="AB17" i="33"/>
  <c r="U23" i="21"/>
  <c r="AB23" i="21"/>
  <c r="AC11" i="37"/>
  <c r="W11" i="37"/>
  <c r="W11" i="34"/>
  <c r="AC11" i="34"/>
  <c r="F34" i="11"/>
  <c r="F11" i="12"/>
  <c r="F34" i="68"/>
  <c r="R8" i="1"/>
  <c r="AE8" i="1"/>
  <c r="AG6" i="1"/>
  <c r="H109" i="9"/>
  <c r="H110" i="9"/>
  <c r="D18" i="53" s="1"/>
  <c r="B35" i="72" s="1"/>
  <c r="D16" i="53"/>
  <c r="B34" i="72" s="1"/>
  <c r="H112" i="9"/>
  <c r="D21" i="53" s="1"/>
  <c r="B39" i="72" s="1"/>
  <c r="H111" i="9"/>
  <c r="D126" i="9" s="1"/>
  <c r="AD3" i="71"/>
  <c r="H77" i="43"/>
  <c r="H76" i="43"/>
  <c r="M4" i="43"/>
  <c r="M5" i="43"/>
  <c r="N12" i="43"/>
  <c r="N11" i="43"/>
  <c r="M10" i="43"/>
  <c r="M2" i="43"/>
  <c r="M7" i="43"/>
  <c r="C6" i="43" s="1"/>
  <c r="H70" i="43"/>
  <c r="H54" i="43"/>
  <c r="N9" i="43"/>
  <c r="M8" i="43"/>
  <c r="N10" i="43"/>
  <c r="H48" i="43"/>
  <c r="H74" i="43"/>
  <c r="M6" i="43"/>
  <c r="N7" i="43"/>
  <c r="F59" i="43" s="1"/>
  <c r="N4" i="43"/>
  <c r="N2" i="43"/>
  <c r="H49" i="43"/>
  <c r="N17" i="43"/>
  <c r="L17" i="43"/>
  <c r="O17" i="43"/>
  <c r="M17" i="43"/>
  <c r="E17" i="43"/>
  <c r="C70" i="39"/>
  <c r="AB18" i="71"/>
  <c r="X16" i="71"/>
  <c r="X15" i="71"/>
  <c r="AA16" i="71"/>
  <c r="AA15" i="71"/>
  <c r="X19" i="71"/>
  <c r="Y15" i="71"/>
  <c r="Z15" i="71" s="1"/>
  <c r="AB16" i="71"/>
  <c r="AB15" i="71"/>
  <c r="F17" i="71"/>
  <c r="F16" i="71" s="1"/>
  <c r="F15" i="71" s="1"/>
  <c r="F14" i="71" s="1"/>
  <c r="F13" i="71" s="1"/>
  <c r="Y16" i="71"/>
  <c r="Z16" i="71" s="1"/>
  <c r="X3" i="71"/>
  <c r="E17" i="71"/>
  <c r="E16" i="71"/>
  <c r="E15" i="71" s="1"/>
  <c r="E14" i="71" s="1"/>
  <c r="E13" i="71" s="1"/>
  <c r="E12" i="71" s="1"/>
  <c r="G20" i="43"/>
  <c r="E41" i="43"/>
  <c r="C41" i="43" s="1"/>
  <c r="I59" i="34"/>
  <c r="J59" i="34" s="1"/>
  <c r="AE7" i="1"/>
  <c r="AO11" i="1"/>
  <c r="F35" i="67"/>
  <c r="F8" i="15"/>
  <c r="M8" i="15"/>
  <c r="F36" i="15"/>
  <c r="L47" i="15"/>
  <c r="B11" i="76"/>
  <c r="E9" i="76"/>
  <c r="F6" i="15"/>
  <c r="M21" i="67"/>
  <c r="F40" i="67"/>
  <c r="M27" i="67"/>
  <c r="M24" i="67"/>
  <c r="L48" i="67"/>
  <c r="E2" i="69"/>
  <c r="M6" i="15"/>
  <c r="F13" i="15"/>
  <c r="F8" i="67"/>
  <c r="D2" i="33"/>
  <c r="AO8" i="1"/>
  <c r="B13" i="76"/>
  <c r="M28" i="67"/>
  <c r="J15" i="67"/>
  <c r="D2" i="34"/>
  <c r="M26" i="67"/>
  <c r="J15" i="15"/>
  <c r="AO10" i="1"/>
  <c r="M9" i="67"/>
  <c r="F43" i="67"/>
  <c r="M23" i="15"/>
  <c r="M29" i="67"/>
  <c r="M9" i="15"/>
  <c r="F7" i="67"/>
  <c r="E11" i="76"/>
  <c r="M23" i="67"/>
  <c r="M27" i="15"/>
  <c r="M22" i="67"/>
  <c r="F26" i="15"/>
  <c r="F37" i="15"/>
  <c r="F6" i="67"/>
  <c r="F36" i="67"/>
  <c r="D2" i="37"/>
  <c r="B9" i="76"/>
  <c r="D2" i="36"/>
  <c r="F38" i="67"/>
  <c r="F42" i="15"/>
  <c r="M22" i="15"/>
  <c r="C76" i="15"/>
  <c r="F43" i="15"/>
  <c r="M28" i="15"/>
  <c r="AO12" i="1"/>
  <c r="F5" i="73"/>
  <c r="F16" i="15"/>
  <c r="L47" i="67"/>
  <c r="F38" i="15"/>
  <c r="B12" i="76"/>
  <c r="F3" i="73"/>
  <c r="B10" i="76"/>
  <c r="E13" i="76"/>
  <c r="F20" i="31"/>
  <c r="M26" i="15"/>
  <c r="F4" i="73"/>
  <c r="B8" i="76"/>
  <c r="D2" i="35"/>
  <c r="M24" i="15"/>
  <c r="E7" i="76"/>
  <c r="F16" i="67"/>
  <c r="F6" i="73"/>
  <c r="D2" i="21"/>
  <c r="F26" i="67"/>
  <c r="F9" i="67"/>
  <c r="M6" i="67"/>
  <c r="E8" i="76"/>
  <c r="F7" i="73"/>
  <c r="AO13" i="1"/>
  <c r="F41" i="67"/>
  <c r="F7" i="15"/>
  <c r="AO9" i="1"/>
  <c r="M29" i="15"/>
  <c r="E10" i="76"/>
  <c r="C76" i="67"/>
  <c r="B7" i="76"/>
  <c r="M8" i="67"/>
  <c r="E2" i="68"/>
  <c r="F42" i="67"/>
  <c r="F40" i="15"/>
  <c r="F9" i="15"/>
  <c r="F37" i="67"/>
  <c r="L48" i="15"/>
  <c r="F13" i="67"/>
  <c r="E12" i="76"/>
  <c r="AB39" i="39" l="1"/>
  <c r="C18" i="9"/>
  <c r="D18" i="9" s="1"/>
  <c r="F107" i="39"/>
  <c r="U21" i="39"/>
  <c r="U29" i="39"/>
  <c r="U31" i="39"/>
  <c r="W27" i="39"/>
  <c r="F93" i="39"/>
  <c r="G93" i="39" s="1"/>
  <c r="H19" i="39"/>
  <c r="F19" i="39"/>
  <c r="J19" i="39"/>
  <c r="AB15" i="39"/>
  <c r="AC15" i="39"/>
  <c r="J34" i="39"/>
  <c r="H34" i="39"/>
  <c r="U34" i="39" s="1"/>
  <c r="AA39" i="39"/>
  <c r="AA41" i="39"/>
  <c r="W29" i="39"/>
  <c r="S21" i="39"/>
  <c r="AA13" i="39"/>
  <c r="U13" i="39"/>
  <c r="AB8" i="39"/>
  <c r="U42" i="39"/>
  <c r="W42" i="39"/>
  <c r="W39" i="39"/>
  <c r="AC38" i="39"/>
  <c r="S38" i="39"/>
  <c r="S34" i="39"/>
  <c r="S11" i="39"/>
  <c r="AB11" i="39"/>
  <c r="B55" i="43"/>
  <c r="E59" i="43"/>
  <c r="B57" i="43" s="1"/>
  <c r="C24" i="43" s="1"/>
  <c r="E11" i="43"/>
  <c r="E9" i="43"/>
  <c r="E10" i="43"/>
  <c r="E8" i="43"/>
  <c r="C7" i="43" s="1"/>
  <c r="F36" i="43"/>
  <c r="H62" i="43"/>
  <c r="H66" i="43"/>
  <c r="H67" i="43"/>
  <c r="H60" i="43"/>
  <c r="H64" i="43"/>
  <c r="C20" i="43"/>
  <c r="J17" i="43"/>
  <c r="I17" i="43"/>
  <c r="D17" i="43"/>
  <c r="H113" i="43"/>
  <c r="C92" i="9"/>
  <c r="C94" i="9"/>
  <c r="F32" i="67"/>
  <c r="F60" i="67" s="1"/>
  <c r="F28" i="15"/>
  <c r="F28" i="67"/>
  <c r="F54" i="9"/>
  <c r="F32" i="15"/>
  <c r="F60" i="15" s="1"/>
  <c r="F52" i="9"/>
  <c r="F30" i="68"/>
  <c r="F48" i="68" s="1"/>
  <c r="F48" i="9"/>
  <c r="O52" i="9" s="1"/>
  <c r="C28" i="15"/>
  <c r="C36" i="11"/>
  <c r="D68" i="9"/>
  <c r="M18" i="15"/>
  <c r="F30" i="69"/>
  <c r="F48" i="69" s="1"/>
  <c r="M18" i="67"/>
  <c r="F31" i="12"/>
  <c r="C31" i="12" s="1"/>
  <c r="F30" i="11"/>
  <c r="C30" i="11" s="1"/>
  <c r="C21" i="69"/>
  <c r="D22" i="67"/>
  <c r="G6" i="1"/>
  <c r="BL13" i="3"/>
  <c r="I4" i="6"/>
  <c r="G3" i="43" s="1"/>
  <c r="AJ11" i="43" s="1"/>
  <c r="AJ13" i="43" s="1"/>
  <c r="E2" i="70"/>
  <c r="T11" i="1"/>
  <c r="T10" i="1"/>
  <c r="E27" i="6"/>
  <c r="AR12" i="1"/>
  <c r="G13" i="3"/>
  <c r="E11" i="6"/>
  <c r="AC5" i="3"/>
  <c r="T9" i="1"/>
  <c r="AR8" i="1"/>
  <c r="AQ9" i="1"/>
  <c r="AH11" i="43"/>
  <c r="C36" i="69"/>
  <c r="J22" i="43"/>
  <c r="AR11" i="1"/>
  <c r="D9" i="69"/>
  <c r="C9" i="69" s="1"/>
  <c r="AQ13" i="1"/>
  <c r="E51" i="40"/>
  <c r="D9" i="68"/>
  <c r="C9" i="68" s="1"/>
  <c r="D19" i="12"/>
  <c r="C19" i="12" s="1"/>
  <c r="E29" i="6"/>
  <c r="K15" i="1" s="1"/>
  <c r="P6" i="1"/>
  <c r="E12" i="6"/>
  <c r="L101" i="43"/>
  <c r="AF11" i="43"/>
  <c r="AC11" i="43"/>
  <c r="G22" i="43"/>
  <c r="C101" i="43"/>
  <c r="H61" i="43"/>
  <c r="H59" i="43"/>
  <c r="H51" i="43"/>
  <c r="H56" i="43"/>
  <c r="H63" i="43"/>
  <c r="H65" i="43"/>
  <c r="H53" i="43"/>
  <c r="H50" i="43"/>
  <c r="G11" i="1"/>
  <c r="G9" i="1"/>
  <c r="G12" i="1"/>
  <c r="G8" i="1"/>
  <c r="D19" i="53"/>
  <c r="D70" i="39"/>
  <c r="E68" i="39"/>
  <c r="F68" i="39" s="1"/>
  <c r="F70" i="39" s="1"/>
  <c r="C24" i="12"/>
  <c r="C28" i="67"/>
  <c r="C13" i="12"/>
  <c r="J1" i="73"/>
  <c r="I14" i="74"/>
  <c r="B8" i="74" s="1"/>
  <c r="D127" i="9"/>
  <c r="D13" i="52" s="1"/>
  <c r="D12" i="52"/>
  <c r="E11" i="71"/>
  <c r="E10" i="71" s="1"/>
  <c r="E9" i="71" s="1"/>
  <c r="E8" i="71" s="1"/>
  <c r="V12" i="71"/>
  <c r="C48" i="69"/>
  <c r="C48" i="11"/>
  <c r="M7" i="1"/>
  <c r="Q16" i="1"/>
  <c r="H16" i="1"/>
  <c r="V16" i="71"/>
  <c r="C30" i="69"/>
  <c r="D17" i="53"/>
  <c r="B36" i="72" s="1"/>
  <c r="D124" i="9"/>
  <c r="C23" i="12"/>
  <c r="W23" i="21"/>
  <c r="AC27" i="33"/>
  <c r="U11" i="34"/>
  <c r="AC19" i="37"/>
  <c r="AB9" i="21"/>
  <c r="AC33" i="21"/>
  <c r="T8" i="1"/>
  <c r="U23" i="33"/>
  <c r="U45" i="21"/>
  <c r="AB45" i="21"/>
  <c r="P11" i="1"/>
  <c r="E61" i="39"/>
  <c r="E56" i="40"/>
  <c r="AZ13" i="3"/>
  <c r="S12" i="21"/>
  <c r="AA12" i="21"/>
  <c r="AC27" i="34"/>
  <c r="W27" i="34"/>
  <c r="L27" i="6"/>
  <c r="S19" i="33"/>
  <c r="AA19" i="33"/>
  <c r="O12" i="1"/>
  <c r="P12" i="1" s="1"/>
  <c r="F30" i="6"/>
  <c r="F31" i="6" s="1"/>
  <c r="E28" i="6"/>
  <c r="AZ557" i="3"/>
  <c r="W27" i="21"/>
  <c r="AC27" i="21"/>
  <c r="W26" i="33"/>
  <c r="AC26" i="33"/>
  <c r="AB9" i="36"/>
  <c r="U9" i="36"/>
  <c r="AC23" i="36"/>
  <c r="W23" i="36"/>
  <c r="T13" i="1"/>
  <c r="AB34" i="33"/>
  <c r="AB33" i="34"/>
  <c r="AA40" i="34"/>
  <c r="H78" i="43"/>
  <c r="AR10" i="1"/>
  <c r="E14" i="6"/>
  <c r="E65" i="39"/>
  <c r="E10" i="6"/>
  <c r="D120" i="9"/>
  <c r="AA10" i="33"/>
  <c r="W43" i="33"/>
  <c r="S42" i="33"/>
  <c r="AA35" i="33"/>
  <c r="U28" i="34"/>
  <c r="AB41" i="34"/>
  <c r="AC39" i="34"/>
  <c r="U44" i="34"/>
  <c r="U23" i="37"/>
  <c r="AB17" i="37"/>
  <c r="AC15" i="37"/>
  <c r="S36" i="37"/>
  <c r="AB31" i="37"/>
  <c r="W27" i="37"/>
  <c r="AA10" i="35"/>
  <c r="AA25" i="35"/>
  <c r="AB14" i="36"/>
  <c r="AA22" i="36"/>
  <c r="AA26" i="36"/>
  <c r="AB27" i="36"/>
  <c r="U12" i="39"/>
  <c r="U14" i="39"/>
  <c r="U25" i="39"/>
  <c r="S43" i="39"/>
  <c r="U37" i="39"/>
  <c r="AA27" i="40"/>
  <c r="AB27" i="40"/>
  <c r="AA34" i="33"/>
  <c r="W28" i="37"/>
  <c r="E13" i="6"/>
  <c r="H75" i="43"/>
  <c r="AC17" i="34"/>
  <c r="U12" i="40"/>
  <c r="S15" i="37"/>
  <c r="AC11" i="39"/>
  <c r="AB33" i="40"/>
  <c r="S14" i="40"/>
  <c r="AA25" i="21"/>
  <c r="W47" i="34"/>
  <c r="AB28" i="37"/>
  <c r="U35" i="35"/>
  <c r="U32" i="33"/>
  <c r="AC28" i="34"/>
  <c r="U36" i="39"/>
  <c r="W36" i="39"/>
  <c r="AC45" i="39"/>
  <c r="W31" i="34"/>
  <c r="AB30" i="21"/>
  <c r="AA13" i="35"/>
  <c r="S28" i="34"/>
  <c r="S41" i="33"/>
  <c r="AB23" i="34"/>
  <c r="U33" i="35"/>
  <c r="AC34" i="36"/>
  <c r="AC11" i="40"/>
  <c r="U8" i="33"/>
  <c r="AA39" i="37"/>
  <c r="S10" i="36"/>
  <c r="F34" i="36"/>
  <c r="AA12" i="34"/>
  <c r="AB12" i="33"/>
  <c r="S34" i="21"/>
  <c r="S27" i="35"/>
  <c r="W33" i="33"/>
  <c r="U35" i="33"/>
  <c r="S9" i="33"/>
  <c r="F26" i="33"/>
  <c r="S34" i="34"/>
  <c r="AC27" i="35"/>
  <c r="J33" i="36"/>
  <c r="H12" i="21"/>
  <c r="J12" i="21"/>
  <c r="J34" i="35"/>
  <c r="H34" i="35"/>
  <c r="F34" i="35"/>
  <c r="F23" i="36"/>
  <c r="O8" i="1"/>
  <c r="P8" i="1" s="1"/>
  <c r="AZ409" i="3"/>
  <c r="AZ416" i="3"/>
  <c r="AZ425" i="3"/>
  <c r="AZ432" i="3"/>
  <c r="AZ445" i="3"/>
  <c r="AZ464" i="3"/>
  <c r="AZ467" i="3"/>
  <c r="AZ474" i="3"/>
  <c r="AZ480" i="3"/>
  <c r="AZ482" i="3"/>
  <c r="AZ486" i="3"/>
  <c r="AZ488" i="3"/>
  <c r="H36" i="35"/>
  <c r="J36" i="35"/>
  <c r="F25" i="37"/>
  <c r="W31" i="35"/>
  <c r="AC31" i="35"/>
  <c r="G551" i="3"/>
  <c r="BL548" i="3"/>
  <c r="BL5" i="3" s="1"/>
  <c r="AZ399" i="3"/>
  <c r="AZ404" i="3"/>
  <c r="AZ449" i="3"/>
  <c r="AZ453" i="3"/>
  <c r="AZ455" i="3"/>
  <c r="AZ460" i="3"/>
  <c r="AZ492" i="3"/>
  <c r="AZ385" i="3"/>
  <c r="AZ210" i="3"/>
  <c r="AZ225" i="3"/>
  <c r="AZ239" i="3"/>
  <c r="AZ255" i="3"/>
  <c r="AZ274" i="3"/>
  <c r="AZ277" i="3"/>
  <c r="AZ264" i="3"/>
  <c r="AZ290" i="3"/>
  <c r="AZ293" i="3"/>
  <c r="AZ90" i="3"/>
  <c r="AZ99" i="3"/>
  <c r="AZ106" i="3"/>
  <c r="AZ112" i="3"/>
  <c r="AZ298" i="3"/>
  <c r="AZ301" i="3"/>
  <c r="AZ122" i="3"/>
  <c r="AZ125" i="3"/>
  <c r="AZ22" i="3"/>
  <c r="AZ54" i="3"/>
  <c r="AZ57" i="3"/>
  <c r="AZ70" i="3"/>
  <c r="AZ92" i="3"/>
  <c r="M108" i="43"/>
  <c r="M100" i="43"/>
  <c r="I108" i="43"/>
  <c r="I100" i="43"/>
  <c r="E108" i="43"/>
  <c r="E100" i="43"/>
  <c r="F40" i="68"/>
  <c r="C21" i="68"/>
  <c r="C40" i="68"/>
  <c r="D60" i="71"/>
  <c r="T60" i="71"/>
  <c r="P61" i="71"/>
  <c r="P62" i="71"/>
  <c r="C22" i="71"/>
  <c r="D22" i="71" s="1"/>
  <c r="D23" i="71"/>
  <c r="C32" i="71"/>
  <c r="D31" i="71"/>
  <c r="D108" i="43"/>
  <c r="D100" i="43"/>
  <c r="S18" i="35"/>
  <c r="S29" i="39"/>
  <c r="C29" i="39"/>
  <c r="B66" i="43"/>
  <c r="V24" i="71"/>
  <c r="AA24" i="71"/>
  <c r="AA22" i="71"/>
  <c r="AB24" i="71"/>
  <c r="AB22" i="71"/>
  <c r="X24" i="71"/>
  <c r="Y24" i="71"/>
  <c r="Z24" i="71" s="1"/>
  <c r="Y23" i="71"/>
  <c r="Z23" i="71" s="1"/>
  <c r="Y22" i="71"/>
  <c r="Z22" i="71" s="1"/>
  <c r="X32" i="71"/>
  <c r="X31" i="71"/>
  <c r="X30" i="71"/>
  <c r="AA28" i="71"/>
  <c r="AA27" i="71"/>
  <c r="AB25" i="71"/>
  <c r="Y25" i="71"/>
  <c r="Z25" i="71" s="1"/>
  <c r="Y26" i="71"/>
  <c r="Z26" i="71" s="1"/>
  <c r="Y27" i="71"/>
  <c r="Z27" i="71" s="1"/>
  <c r="AB27" i="71"/>
  <c r="AB28" i="71"/>
  <c r="AB30" i="71"/>
  <c r="X5" i="71"/>
  <c r="X6" i="71"/>
  <c r="X35" i="71"/>
  <c r="Z12" i="43"/>
  <c r="Z10" i="43"/>
  <c r="AD12" i="43"/>
  <c r="AD10" i="43"/>
  <c r="AF12" i="43"/>
  <c r="AF10" i="43"/>
  <c r="AH12" i="43"/>
  <c r="AH10" i="43"/>
  <c r="Y17" i="71"/>
  <c r="Z17" i="71" s="1"/>
  <c r="AB17" i="71"/>
  <c r="X17" i="71"/>
  <c r="X13" i="71"/>
  <c r="Y13" i="71"/>
  <c r="Z13" i="71" s="1"/>
  <c r="AA13" i="71"/>
  <c r="AB14" i="71"/>
  <c r="Y10" i="71"/>
  <c r="Z10" i="71" s="1"/>
  <c r="E26" i="71"/>
  <c r="E27" i="71" s="1"/>
  <c r="E28" i="71" s="1"/>
  <c r="U28" i="71" s="1"/>
  <c r="AA25" i="71"/>
  <c r="B34" i="71"/>
  <c r="B35" i="71" s="1"/>
  <c r="B36" i="71" s="1"/>
  <c r="S36" i="71" s="1"/>
  <c r="X33" i="71"/>
  <c r="AB6" i="71"/>
  <c r="AB5" i="71"/>
  <c r="AB35" i="71"/>
  <c r="S64" i="71"/>
  <c r="B63" i="71"/>
  <c r="AJ10" i="43"/>
  <c r="Y5" i="71"/>
  <c r="Z5" i="71" s="1"/>
  <c r="Y6" i="71"/>
  <c r="Z6" i="71" s="1"/>
  <c r="AA5" i="71"/>
  <c r="AA6" i="71"/>
  <c r="AC12" i="43"/>
  <c r="AC10" i="43"/>
  <c r="AG12" i="43"/>
  <c r="AG10" i="43"/>
  <c r="X20" i="71"/>
  <c r="Y20" i="71"/>
  <c r="Z20" i="71" s="1"/>
  <c r="AA18" i="71"/>
  <c r="X18" i="71"/>
  <c r="AA17" i="71"/>
  <c r="Y14" i="71"/>
  <c r="Z14" i="71" s="1"/>
  <c r="X14" i="71"/>
  <c r="AA14" i="71"/>
  <c r="X10" i="71"/>
  <c r="AA8" i="71"/>
  <c r="AA20" i="71"/>
  <c r="AB20" i="71"/>
  <c r="B20" i="71"/>
  <c r="C20" i="71"/>
  <c r="Y19" i="71"/>
  <c r="Z19" i="71" s="1"/>
  <c r="Y18" i="71"/>
  <c r="Z18" i="71" s="1"/>
  <c r="AA19" i="71"/>
  <c r="AB19" i="71"/>
  <c r="AB11" i="71"/>
  <c r="AB13" i="71"/>
  <c r="AB7" i="71"/>
  <c r="AB10" i="71"/>
  <c r="Y8" i="71"/>
  <c r="Z8" i="71" s="1"/>
  <c r="Y9" i="71"/>
  <c r="Z9" i="71" s="1"/>
  <c r="X7" i="71"/>
  <c r="X11" i="71"/>
  <c r="AA11" i="71"/>
  <c r="AB8" i="71"/>
  <c r="AB9" i="71"/>
  <c r="Y7" i="71"/>
  <c r="Z7" i="71" s="1"/>
  <c r="X8" i="71"/>
  <c r="X9" i="71"/>
  <c r="AA7" i="71"/>
  <c r="AA9" i="71"/>
  <c r="AA10" i="71"/>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4" i="73"/>
  <c r="C14" i="15"/>
  <c r="C16" i="67"/>
  <c r="C16" i="15"/>
  <c r="D7" i="73"/>
  <c r="C17" i="67"/>
  <c r="D5" i="73"/>
  <c r="D3" i="73"/>
  <c r="C14" i="67"/>
  <c r="D6" i="73"/>
  <c r="C17" i="15"/>
  <c r="G107" i="39" l="1"/>
  <c r="H107" i="39" s="1"/>
  <c r="I107" i="39" s="1"/>
  <c r="J107" i="39" s="1"/>
  <c r="K107" i="39" s="1"/>
  <c r="L107" i="39" s="1"/>
  <c r="M107" i="39" s="1"/>
  <c r="J32" i="39"/>
  <c r="H32" i="39"/>
  <c r="F32" i="39"/>
  <c r="AC19" i="39"/>
  <c r="W19" i="39"/>
  <c r="U19" i="39"/>
  <c r="AB19" i="39"/>
  <c r="S19" i="39"/>
  <c r="AA19" i="39"/>
  <c r="AB34" i="39"/>
  <c r="AC34" i="39"/>
  <c r="W34" i="39"/>
  <c r="G17" i="43"/>
  <c r="C16" i="43" s="1"/>
  <c r="D5" i="43" s="1"/>
  <c r="F11" i="78"/>
  <c r="M11" i="78"/>
  <c r="J10" i="78" s="1"/>
  <c r="J5" i="78" s="1"/>
  <c r="C30" i="68"/>
  <c r="C48" i="68"/>
  <c r="AC13" i="43"/>
  <c r="AF13" i="43"/>
  <c r="N104" i="46"/>
  <c r="N101" i="43"/>
  <c r="N105" i="43" s="1"/>
  <c r="D101" i="43"/>
  <c r="D109" i="43" s="1"/>
  <c r="Z11" i="43"/>
  <c r="Z13" i="43" s="1"/>
  <c r="M101" i="43"/>
  <c r="M105" i="43" s="1"/>
  <c r="F101" i="43"/>
  <c r="F107" i="43" s="1"/>
  <c r="AI11" i="43"/>
  <c r="AI13" i="43" s="1"/>
  <c r="Z7" i="43"/>
  <c r="Y11" i="43"/>
  <c r="Y13" i="43" s="1"/>
  <c r="N104" i="43"/>
  <c r="D103" i="43"/>
  <c r="H22" i="43"/>
  <c r="J101" i="43"/>
  <c r="J104" i="43" s="1"/>
  <c r="G101" i="43"/>
  <c r="G105" i="43" s="1"/>
  <c r="B113" i="43"/>
  <c r="B115" i="43" s="1"/>
  <c r="I101" i="43"/>
  <c r="I102" i="43" s="1"/>
  <c r="K101" i="43"/>
  <c r="K105" i="43" s="1"/>
  <c r="AE11" i="43"/>
  <c r="AE13" i="43" s="1"/>
  <c r="AB11" i="43"/>
  <c r="AB13" i="43" s="1"/>
  <c r="E101" i="43"/>
  <c r="E107" i="43" s="1"/>
  <c r="H101" i="43"/>
  <c r="H107" i="43" s="1"/>
  <c r="E22" i="43"/>
  <c r="F22" i="43"/>
  <c r="AD11" i="43"/>
  <c r="AD13" i="43" s="1"/>
  <c r="AA11" i="43"/>
  <c r="AA13" i="43" s="1"/>
  <c r="AG11" i="43"/>
  <c r="AG13" i="43" s="1"/>
  <c r="C18" i="15"/>
  <c r="C15" i="15"/>
  <c r="AH13" i="43"/>
  <c r="E104" i="43"/>
  <c r="M109" i="43"/>
  <c r="M104" i="43"/>
  <c r="E109" i="43"/>
  <c r="K102" i="43"/>
  <c r="I106" i="43"/>
  <c r="E16" i="6"/>
  <c r="E62" i="39"/>
  <c r="E57" i="40"/>
  <c r="J103" i="43"/>
  <c r="J109" i="43"/>
  <c r="J107" i="43"/>
  <c r="G106" i="43"/>
  <c r="D117" i="43"/>
  <c r="E117" i="43" s="1"/>
  <c r="F117" i="43" s="1"/>
  <c r="G117" i="43" s="1"/>
  <c r="H117" i="43" s="1"/>
  <c r="I118" i="43"/>
  <c r="J118" i="43" s="1"/>
  <c r="K118" i="43" s="1"/>
  <c r="L118" i="43" s="1"/>
  <c r="M118" i="43" s="1"/>
  <c r="B117" i="43"/>
  <c r="C117" i="43" s="1"/>
  <c r="D115" i="43"/>
  <c r="E115" i="43" s="1"/>
  <c r="F115" i="43" s="1"/>
  <c r="G115" i="43" s="1"/>
  <c r="H115" i="43" s="1"/>
  <c r="B116" i="43"/>
  <c r="C116" i="43" s="1"/>
  <c r="G118" i="43"/>
  <c r="H118" i="43" s="1"/>
  <c r="I105" i="43"/>
  <c r="K104" i="43"/>
  <c r="K109" i="43"/>
  <c r="M102" i="43"/>
  <c r="L102" i="43"/>
  <c r="L105" i="43"/>
  <c r="L104" i="43"/>
  <c r="L109" i="43"/>
  <c r="L106" i="43"/>
  <c r="L103" i="43"/>
  <c r="L107" i="43"/>
  <c r="F106" i="43"/>
  <c r="C104" i="43"/>
  <c r="C106" i="43"/>
  <c r="C107" i="43"/>
  <c r="C103" i="43"/>
  <c r="C105" i="43"/>
  <c r="C102" i="43"/>
  <c r="C109" i="43"/>
  <c r="N106" i="43"/>
  <c r="D106" i="43"/>
  <c r="D102" i="43"/>
  <c r="H106" i="43"/>
  <c r="H103" i="43"/>
  <c r="H102" i="43"/>
  <c r="H10" i="39"/>
  <c r="AB10" i="39" s="1"/>
  <c r="J10" i="40"/>
  <c r="AC10" i="40" s="1"/>
  <c r="F10" i="40"/>
  <c r="AA10" i="40" s="1"/>
  <c r="J10" i="39"/>
  <c r="W10" i="39" s="1"/>
  <c r="H10" i="40"/>
  <c r="U10" i="40" s="1"/>
  <c r="B38" i="72"/>
  <c r="D20" i="53"/>
  <c r="B40" i="72" s="1"/>
  <c r="K1" i="73"/>
  <c r="E70" i="39"/>
  <c r="C19" i="71"/>
  <c r="D20" i="71"/>
  <c r="U20" i="71" s="1"/>
  <c r="T20" i="71"/>
  <c r="D32" i="71"/>
  <c r="T32" i="71"/>
  <c r="AA25" i="37"/>
  <c r="S25" i="37"/>
  <c r="U36" i="35"/>
  <c r="AB36" i="35"/>
  <c r="AA23" i="36"/>
  <c r="S23" i="36"/>
  <c r="AB34" i="35"/>
  <c r="U34" i="35"/>
  <c r="AC12" i="21"/>
  <c r="W12" i="21"/>
  <c r="W33" i="36"/>
  <c r="AC33" i="36"/>
  <c r="E58" i="40"/>
  <c r="E63" i="39"/>
  <c r="D121" i="9"/>
  <c r="D7" i="52" s="1"/>
  <c r="D6" i="52"/>
  <c r="D10" i="52"/>
  <c r="D125" i="9"/>
  <c r="D11" i="52" s="1"/>
  <c r="H14" i="74"/>
  <c r="B7" i="74" s="1"/>
  <c r="O7" i="1"/>
  <c r="P7" i="1" s="1"/>
  <c r="B19" i="71"/>
  <c r="B18" i="71" s="1"/>
  <c r="B17" i="71" s="1"/>
  <c r="B16" i="71" s="1"/>
  <c r="S20" i="71"/>
  <c r="N63" i="71"/>
  <c r="B62" i="71"/>
  <c r="G5" i="3"/>
  <c r="B3" i="3" s="1"/>
  <c r="E551" i="3" s="1"/>
  <c r="AC36" i="35"/>
  <c r="W36" i="35"/>
  <c r="S34" i="35"/>
  <c r="AA34" i="35"/>
  <c r="AC34" i="35"/>
  <c r="W34" i="35"/>
  <c r="AB12" i="21"/>
  <c r="U12" i="21"/>
  <c r="AA26" i="33"/>
  <c r="S26" i="33"/>
  <c r="S34" i="36"/>
  <c r="AA34" i="36"/>
  <c r="E64" i="39"/>
  <c r="E59" i="40"/>
  <c r="AZ548" i="3"/>
  <c r="AZ5" i="3" s="1"/>
  <c r="K21" i="6"/>
  <c r="M21" i="6" s="1"/>
  <c r="I21" i="6" s="1"/>
  <c r="S21" i="6" s="1"/>
  <c r="K22" i="6"/>
  <c r="M22" i="6" s="1"/>
  <c r="I22" i="6" s="1"/>
  <c r="S22" i="6" s="1"/>
  <c r="K25" i="6"/>
  <c r="M25" i="6" s="1"/>
  <c r="I25" i="6" s="1"/>
  <c r="S25" i="6" s="1"/>
  <c r="K23" i="6"/>
  <c r="M23" i="6" s="1"/>
  <c r="I23" i="6" s="1"/>
  <c r="S23" i="6" s="1"/>
  <c r="E30" i="6"/>
  <c r="E31" i="6" s="1"/>
  <c r="K20" i="6"/>
  <c r="K26" i="6"/>
  <c r="M26" i="6" s="1"/>
  <c r="I26" i="6" s="1"/>
  <c r="S26" i="6" s="1"/>
  <c r="K24" i="6"/>
  <c r="M24" i="6" s="1"/>
  <c r="I24" i="6" s="1"/>
  <c r="S24" i="6" s="1"/>
  <c r="K14" i="1"/>
  <c r="K19" i="6"/>
  <c r="S6" i="1" s="1"/>
  <c r="F27" i="69"/>
  <c r="F28" i="12"/>
  <c r="C29" i="12" s="1"/>
  <c r="D28" i="12" s="1"/>
  <c r="F27" i="11"/>
  <c r="F27" i="68"/>
  <c r="E7" i="71"/>
  <c r="E6" i="71" s="1"/>
  <c r="E5" i="71" s="1"/>
  <c r="V8" i="71"/>
  <c r="F59" i="67"/>
  <c r="G70" i="39"/>
  <c r="H68" i="39"/>
  <c r="H7" i="37"/>
  <c r="AB7" i="37" s="1"/>
  <c r="T42" i="37" s="1"/>
  <c r="G42" i="37"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8"/>
  <c r="G1" i="73"/>
  <c r="AA32" i="39" l="1"/>
  <c r="S32" i="39"/>
  <c r="W32" i="39"/>
  <c r="AC32" i="39"/>
  <c r="U32" i="39"/>
  <c r="AB32" i="39"/>
  <c r="H104" i="43"/>
  <c r="H109" i="43"/>
  <c r="H105" i="43"/>
  <c r="D105" i="43"/>
  <c r="M106" i="43"/>
  <c r="K107" i="43"/>
  <c r="K106" i="43"/>
  <c r="K103" i="43"/>
  <c r="I117" i="43"/>
  <c r="J117" i="43" s="1"/>
  <c r="K117" i="43" s="1"/>
  <c r="L117" i="43" s="1"/>
  <c r="M117" i="43" s="1"/>
  <c r="B118" i="43"/>
  <c r="C118" i="43" s="1"/>
  <c r="D118" i="43"/>
  <c r="E118" i="43" s="1"/>
  <c r="F118" i="43" s="1"/>
  <c r="I116" i="43"/>
  <c r="J116" i="43" s="1"/>
  <c r="K116" i="43" s="1"/>
  <c r="L116" i="43" s="1"/>
  <c r="M116" i="43" s="1"/>
  <c r="D116" i="43"/>
  <c r="E116" i="43" s="1"/>
  <c r="F116" i="43" s="1"/>
  <c r="G116" i="43" s="1"/>
  <c r="H116" i="43" s="1"/>
  <c r="I115" i="43"/>
  <c r="J115" i="43" s="1"/>
  <c r="K115" i="43" s="1"/>
  <c r="L115" i="43" s="1"/>
  <c r="M115" i="43" s="1"/>
  <c r="J102" i="43"/>
  <c r="J105" i="43"/>
  <c r="J106" i="43"/>
  <c r="E103" i="43"/>
  <c r="N103" i="43"/>
  <c r="G103" i="43"/>
  <c r="C5" i="43"/>
  <c r="T12" i="43" s="1"/>
  <c r="V12" i="43" s="1"/>
  <c r="C35" i="43"/>
  <c r="C37" i="43"/>
  <c r="C36" i="43"/>
  <c r="C39" i="43"/>
  <c r="C34" i="43"/>
  <c r="C33" i="43"/>
  <c r="C38" i="43"/>
  <c r="F69" i="78"/>
  <c r="J26" i="78"/>
  <c r="J29" i="78" s="1"/>
  <c r="J24" i="78"/>
  <c r="C53" i="78"/>
  <c r="C48" i="78" s="1"/>
  <c r="C10" i="78"/>
  <c r="C5" i="78" s="1"/>
  <c r="C19" i="15"/>
  <c r="C20" i="15" s="1"/>
  <c r="C26" i="15" s="1"/>
  <c r="D22" i="43"/>
  <c r="F105" i="43"/>
  <c r="F102" i="43"/>
  <c r="E106" i="43"/>
  <c r="N107" i="43"/>
  <c r="N109" i="43"/>
  <c r="N102" i="43"/>
  <c r="F103" i="43"/>
  <c r="F109" i="43"/>
  <c r="F104" i="43"/>
  <c r="G107" i="43"/>
  <c r="I103" i="43"/>
  <c r="M103" i="43"/>
  <c r="M107" i="43"/>
  <c r="D104" i="43"/>
  <c r="D107" i="43"/>
  <c r="E102" i="43"/>
  <c r="I107" i="43"/>
  <c r="I104" i="43"/>
  <c r="G109" i="43"/>
  <c r="G104" i="43"/>
  <c r="G102" i="43"/>
  <c r="E105" i="43"/>
  <c r="I109" i="43"/>
  <c r="AQ6" i="1"/>
  <c r="T6" i="1"/>
  <c r="AR6" i="1"/>
  <c r="M20" i="6"/>
  <c r="I20" i="6" s="1"/>
  <c r="S20" i="6" s="1"/>
  <c r="S7" i="1"/>
  <c r="E66" i="39"/>
  <c r="S6" i="43"/>
  <c r="S3" i="43"/>
  <c r="C23" i="43"/>
  <c r="C21" i="43" s="1"/>
  <c r="S7" i="43"/>
  <c r="S2" i="43"/>
  <c r="S5" i="43"/>
  <c r="S4" i="43"/>
  <c r="C115" i="43"/>
  <c r="D113" i="43" s="1"/>
  <c r="S10" i="40"/>
  <c r="W10" i="40"/>
  <c r="AC10" i="39"/>
  <c r="B40" i="1"/>
  <c r="AY6" i="3"/>
  <c r="E3" i="6"/>
  <c r="U7" i="37"/>
  <c r="C47" i="11"/>
  <c r="D45" i="11" s="1"/>
  <c r="C29" i="11"/>
  <c r="D27" i="11" s="1"/>
  <c r="C47" i="69"/>
  <c r="D45" i="69" s="1"/>
  <c r="F45" i="69"/>
  <c r="C29" i="69"/>
  <c r="D27" i="69" s="1"/>
  <c r="M14" i="1"/>
  <c r="K16" i="1"/>
  <c r="C34" i="69"/>
  <c r="N62" i="71"/>
  <c r="N61" i="71"/>
  <c r="C29" i="68"/>
  <c r="D27" i="68" s="1"/>
  <c r="F45" i="68"/>
  <c r="C47" i="68"/>
  <c r="D45" i="68" s="1"/>
  <c r="M19" i="6"/>
  <c r="K27"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57" i="3"/>
  <c r="E586" i="3"/>
  <c r="E585" i="3"/>
  <c r="B15" i="71"/>
  <c r="B14" i="71" s="1"/>
  <c r="B13" i="71" s="1"/>
  <c r="B12" i="71" s="1"/>
  <c r="S16" i="71"/>
  <c r="C18" i="71"/>
  <c r="D19"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41" i="15"/>
  <c r="F69" i="15" l="1"/>
  <c r="J29" i="15"/>
  <c r="T15" i="43"/>
  <c r="V15" i="43" s="1"/>
  <c r="T10" i="43"/>
  <c r="V10" i="43" s="1"/>
  <c r="T4" i="43"/>
  <c r="V4" i="43" s="1"/>
  <c r="T2" i="43"/>
  <c r="V2" i="43" s="1"/>
  <c r="C29" i="43"/>
  <c r="E29" i="43" s="1"/>
  <c r="T6" i="43"/>
  <c r="V6" i="43" s="1"/>
  <c r="T8" i="43"/>
  <c r="V8" i="43" s="1"/>
  <c r="T14" i="43"/>
  <c r="V14" i="43" s="1"/>
  <c r="T5" i="43"/>
  <c r="V5" i="43" s="1"/>
  <c r="T7" i="43"/>
  <c r="V7" i="43" s="1"/>
  <c r="T3" i="43"/>
  <c r="V3" i="43" s="1"/>
  <c r="T13" i="43"/>
  <c r="V13" i="43" s="1"/>
  <c r="T11" i="43"/>
  <c r="V11" i="43" s="1"/>
  <c r="T16" i="43"/>
  <c r="V16" i="43" s="1"/>
  <c r="T9" i="43"/>
  <c r="V9" i="43" s="1"/>
  <c r="E38" i="43"/>
  <c r="G38" i="43"/>
  <c r="I38" i="43" s="1"/>
  <c r="G34" i="43"/>
  <c r="I34" i="43" s="1"/>
  <c r="E34" i="43"/>
  <c r="E36" i="43"/>
  <c r="G36" i="43"/>
  <c r="I36" i="43" s="1"/>
  <c r="E35" i="43"/>
  <c r="G35" i="43"/>
  <c r="I35" i="43" s="1"/>
  <c r="G33" i="43"/>
  <c r="I33" i="43" s="1"/>
  <c r="E33" i="43"/>
  <c r="E39" i="43"/>
  <c r="E40" i="43" s="1"/>
  <c r="G39" i="43"/>
  <c r="I39" i="43" s="1"/>
  <c r="E37" i="43"/>
  <c r="G37" i="43"/>
  <c r="I37" i="43" s="1"/>
  <c r="F25" i="12"/>
  <c r="C26" i="12" s="1"/>
  <c r="D25" i="12" s="1"/>
  <c r="F24" i="78"/>
  <c r="C38" i="78"/>
  <c r="C66" i="78"/>
  <c r="C60" i="78"/>
  <c r="AQ7" i="1"/>
  <c r="T7" i="1"/>
  <c r="T16" i="1" s="1"/>
  <c r="AR7" i="1"/>
  <c r="S16" i="1"/>
  <c r="AC6" i="3"/>
  <c r="H6" i="3"/>
  <c r="C30" i="43"/>
  <c r="E30" i="43" s="1"/>
  <c r="F22" i="11"/>
  <c r="C23" i="11" s="1"/>
  <c r="F24" i="15"/>
  <c r="C24" i="15" s="1"/>
  <c r="F22" i="69"/>
  <c r="F41" i="69" s="1"/>
  <c r="F22" i="68"/>
  <c r="F41" i="68" s="1"/>
  <c r="F24" i="67"/>
  <c r="C24" i="67" s="1"/>
  <c r="B11" i="71"/>
  <c r="B10" i="71" s="1"/>
  <c r="B9" i="71" s="1"/>
  <c r="B8" i="71" s="1"/>
  <c r="S12" i="71"/>
  <c r="C35" i="69"/>
  <c r="C38" i="69"/>
  <c r="O14" i="1"/>
  <c r="O16" i="1" s="1"/>
  <c r="M16" i="1"/>
  <c r="D3" i="21"/>
  <c r="D19" i="11"/>
  <c r="C19" i="11" s="1"/>
  <c r="C17" i="4"/>
  <c r="B4" i="52" s="1"/>
  <c r="B43" i="72" s="1"/>
  <c r="L18" i="9"/>
  <c r="D3" i="37"/>
  <c r="D3" i="33"/>
  <c r="D37" i="11"/>
  <c r="C37" i="11" s="1"/>
  <c r="M18" i="9"/>
  <c r="B118" i="9" s="1"/>
  <c r="B14" i="74" s="1"/>
  <c r="B1" i="74" s="1"/>
  <c r="D3" i="34"/>
  <c r="E6" i="6"/>
  <c r="D14" i="12"/>
  <c r="D18" i="71"/>
  <c r="C17" i="71"/>
  <c r="I19" i="6"/>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26" i="43" l="1"/>
  <c r="B2" i="43" s="1"/>
  <c r="B3" i="43" s="1"/>
  <c r="C27" i="43"/>
  <c r="C24" i="78"/>
  <c r="C23" i="78"/>
  <c r="E6" i="3"/>
  <c r="C24" i="11"/>
  <c r="C44" i="11"/>
  <c r="D41" i="11" s="1"/>
  <c r="C26" i="11"/>
  <c r="D22" i="11" s="1"/>
  <c r="C23" i="15"/>
  <c r="C29" i="15" s="1"/>
  <c r="J14" i="15" s="1"/>
  <c r="C44" i="69"/>
  <c r="D41" i="69" s="1"/>
  <c r="C26" i="69"/>
  <c r="D22" i="69" s="1"/>
  <c r="C26" i="68"/>
  <c r="D22" i="68" s="1"/>
  <c r="C44" i="68"/>
  <c r="D41" i="68" s="1"/>
  <c r="C23" i="67"/>
  <c r="C29" i="67" s="1"/>
  <c r="C36" i="67" s="1"/>
  <c r="S19" i="6"/>
  <c r="S27" i="6" s="1"/>
  <c r="I27" i="6"/>
  <c r="D10" i="68"/>
  <c r="D10" i="69"/>
  <c r="D10" i="11"/>
  <c r="C10" i="11" s="1"/>
  <c r="D20" i="12"/>
  <c r="C20" i="12" s="1"/>
  <c r="P14" i="1"/>
  <c r="P16" i="1" s="1"/>
  <c r="C11" i="12"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D17" i="71"/>
  <c r="C16" i="71"/>
  <c r="D17" i="12"/>
  <c r="C17" i="12" s="1"/>
  <c r="C14" i="12"/>
  <c r="C8" i="74"/>
  <c r="C7" i="74"/>
  <c r="C20" i="11"/>
  <c r="C25" i="11" s="1"/>
  <c r="L16" i="1"/>
  <c r="N16" i="1"/>
  <c r="C34" i="11"/>
  <c r="C34" i="68"/>
  <c r="B7" i="71"/>
  <c r="B6" i="71" s="1"/>
  <c r="B5" i="71" s="1"/>
  <c r="S8"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6" i="76"/>
  <c r="E6" i="76"/>
  <c r="B2" i="76" l="1"/>
  <c r="E2" i="76"/>
  <c r="C29" i="78"/>
  <c r="C22" i="11"/>
  <c r="H27" i="6"/>
  <c r="J59" i="15"/>
  <c r="J60" i="15" s="1"/>
  <c r="D16" i="6"/>
  <c r="D30" i="6"/>
  <c r="C33" i="15"/>
  <c r="Q49" i="15"/>
  <c r="C57" i="15"/>
  <c r="C61" i="15" s="1"/>
  <c r="J19" i="15"/>
  <c r="C13" i="15"/>
  <c r="C56" i="15" s="1"/>
  <c r="C65" i="15" s="1"/>
  <c r="C36" i="15"/>
  <c r="J59" i="67"/>
  <c r="J60" i="67" s="1"/>
  <c r="Q48" i="67" s="1"/>
  <c r="C13" i="67"/>
  <c r="C56" i="67" s="1"/>
  <c r="C65" i="67" s="1"/>
  <c r="C57" i="67"/>
  <c r="C61" i="67" s="1"/>
  <c r="C59" i="67" s="1"/>
  <c r="C33" i="67"/>
  <c r="C31" i="67" s="1"/>
  <c r="Q49" i="67"/>
  <c r="J19" i="67"/>
  <c r="J17" i="67" s="1"/>
  <c r="J14" i="67"/>
  <c r="J13" i="67" s="1"/>
  <c r="J23" i="67" s="1"/>
  <c r="C38" i="68"/>
  <c r="C35" i="68"/>
  <c r="F50" i="11"/>
  <c r="F50" i="68"/>
  <c r="F50" i="69"/>
  <c r="C15" i="71"/>
  <c r="T16" i="71"/>
  <c r="D16" i="71"/>
  <c r="U16" i="71" s="1"/>
  <c r="R21" i="6"/>
  <c r="R26" i="6"/>
  <c r="D8" i="74"/>
  <c r="D7" i="74"/>
  <c r="C10" i="69"/>
  <c r="C8" i="69" s="1"/>
  <c r="C5" i="69" s="1"/>
  <c r="D19" i="69"/>
  <c r="C38" i="11"/>
  <c r="C35" i="11"/>
  <c r="C28" i="11"/>
  <c r="C27" i="11" s="1"/>
  <c r="R24" i="6"/>
  <c r="R22" i="6"/>
  <c r="R25" i="6"/>
  <c r="R23" i="6"/>
  <c r="A7" i="51"/>
  <c r="B7" i="72" s="1"/>
  <c r="C4" i="52"/>
  <c r="B45" i="72" s="1"/>
  <c r="A10" i="51"/>
  <c r="B9" i="72" s="1"/>
  <c r="D27" i="6"/>
  <c r="D31" i="6" s="1"/>
  <c r="R19" i="6"/>
  <c r="R6" i="1" s="1"/>
  <c r="C15" i="12"/>
  <c r="C12" i="12"/>
  <c r="C10" i="68"/>
  <c r="B29" i="1" s="1"/>
  <c r="D19" i="68"/>
  <c r="K70" i="39"/>
  <c r="L68" i="39"/>
  <c r="I63" i="40"/>
  <c r="H65" i="40"/>
  <c r="I58" i="21"/>
  <c r="J58" i="21" s="1"/>
  <c r="K58" i="21" s="1"/>
  <c r="L58" i="21" s="1"/>
  <c r="M58" i="21" s="1"/>
  <c r="N58" i="21" s="1"/>
  <c r="O58" i="21" s="1"/>
  <c r="H7" i="21" s="1"/>
  <c r="J7" i="21"/>
  <c r="F7" i="21"/>
  <c r="J48" i="35"/>
  <c r="J22" i="15"/>
  <c r="J13" i="15"/>
  <c r="J23" i="15" s="1"/>
  <c r="F35" i="78"/>
  <c r="F35" i="15"/>
  <c r="M21" i="78"/>
  <c r="M21" i="15"/>
  <c r="B3" i="76" l="1"/>
  <c r="C8" i="68"/>
  <c r="J20" i="78"/>
  <c r="F63" i="78"/>
  <c r="C62" i="78" s="1"/>
  <c r="C34" i="78"/>
  <c r="C31" i="78" s="1"/>
  <c r="C57" i="78"/>
  <c r="C36" i="78"/>
  <c r="J19" i="78"/>
  <c r="J14" i="78"/>
  <c r="C13" i="78"/>
  <c r="Q49" i="78"/>
  <c r="C31" i="11"/>
  <c r="J20" i="15"/>
  <c r="J17" i="15" s="1"/>
  <c r="J16" i="15" s="1"/>
  <c r="J25" i="15" s="1"/>
  <c r="C34" i="15"/>
  <c r="C31" i="15" s="1"/>
  <c r="F63" i="15"/>
  <c r="C62" i="15" s="1"/>
  <c r="C59" i="15" s="1"/>
  <c r="R16" i="1"/>
  <c r="C75" i="67"/>
  <c r="Q48" i="15"/>
  <c r="R27" i="6"/>
  <c r="L46" i="67"/>
  <c r="C37" i="67"/>
  <c r="C30" i="67" s="1"/>
  <c r="C39" i="67" s="1"/>
  <c r="C40" i="67" s="1"/>
  <c r="C75" i="15"/>
  <c r="C33" i="11"/>
  <c r="C42" i="11" s="1"/>
  <c r="Q70" i="15"/>
  <c r="C37" i="15"/>
  <c r="C64" i="15"/>
  <c r="C64" i="67"/>
  <c r="C58" i="67" s="1"/>
  <c r="C67" i="67" s="1"/>
  <c r="C68" i="67" s="1"/>
  <c r="Q70" i="67"/>
  <c r="J22" i="67"/>
  <c r="J16" i="67" s="1"/>
  <c r="J25" i="67" s="1"/>
  <c r="C16" i="12"/>
  <c r="C39" i="11"/>
  <c r="C23" i="69"/>
  <c r="C14" i="71"/>
  <c r="D15" i="71"/>
  <c r="C19" i="68"/>
  <c r="D37" i="68"/>
  <c r="C37" i="68" s="1"/>
  <c r="C33" i="68" s="1"/>
  <c r="I6" i="6"/>
  <c r="I5" i="6"/>
  <c r="C19" i="69"/>
  <c r="C24" i="69" s="1"/>
  <c r="D37" i="69"/>
  <c r="C37" i="69" s="1"/>
  <c r="C33" i="69" s="1"/>
  <c r="L70" i="39"/>
  <c r="M68" i="39"/>
  <c r="U7" i="21"/>
  <c r="AB7" i="21"/>
  <c r="T48" i="21" s="1"/>
  <c r="G48" i="21" s="1"/>
  <c r="S7" i="21"/>
  <c r="AA7" i="21"/>
  <c r="R48" i="21" s="1"/>
  <c r="J63" i="40"/>
  <c r="I65" i="40"/>
  <c r="K48" i="35"/>
  <c r="L48" i="35" s="1"/>
  <c r="M48" i="35" s="1"/>
  <c r="N48" i="35" s="1"/>
  <c r="O48" i="35" s="1"/>
  <c r="H7" i="35" s="1"/>
  <c r="J7" i="35"/>
  <c r="AC7" i="21"/>
  <c r="V48" i="21" s="1"/>
  <c r="I48" i="21" s="1"/>
  <c r="W7" i="21"/>
  <c r="L51" i="67"/>
  <c r="J17" i="78" l="1"/>
  <c r="C18" i="12"/>
  <c r="C21" i="12" s="1"/>
  <c r="C75" i="78"/>
  <c r="Q70" i="78"/>
  <c r="C37" i="78"/>
  <c r="C30" i="78" s="1"/>
  <c r="C39" i="78" s="1"/>
  <c r="C56" i="78"/>
  <c r="C65" i="78" s="1"/>
  <c r="C64" i="78"/>
  <c r="C61" i="78"/>
  <c r="C59" i="78" s="1"/>
  <c r="J13" i="78"/>
  <c r="J23" i="78" s="1"/>
  <c r="J22" i="78"/>
  <c r="C58" i="15"/>
  <c r="C67" i="15" s="1"/>
  <c r="C68" i="15" s="1"/>
  <c r="C71" i="15" s="1"/>
  <c r="C30" i="15"/>
  <c r="C39" i="15" s="1"/>
  <c r="C80" i="15" s="1"/>
  <c r="C79" i="15" s="1"/>
  <c r="C80" i="67"/>
  <c r="C79" i="67" s="1"/>
  <c r="Q69" i="67"/>
  <c r="Q68" i="67" s="1"/>
  <c r="C39" i="69"/>
  <c r="C43" i="69" s="1"/>
  <c r="C42" i="69"/>
  <c r="C39" i="68"/>
  <c r="C42" i="68"/>
  <c r="C24" i="68"/>
  <c r="C13" i="71"/>
  <c r="D14" i="71"/>
  <c r="C20" i="69"/>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78" l="1"/>
  <c r="J25" i="78" s="1"/>
  <c r="C58" i="78"/>
  <c r="C67" i="78" s="1"/>
  <c r="C68" i="78" s="1"/>
  <c r="C71" i="78" s="1"/>
  <c r="C22" i="12"/>
  <c r="C30" i="12" s="1"/>
  <c r="C28" i="12" s="1"/>
  <c r="Q69" i="78"/>
  <c r="Q68" i="78" s="1"/>
  <c r="C40" i="78"/>
  <c r="C80" i="78"/>
  <c r="C79" i="78" s="1"/>
  <c r="C41" i="69"/>
  <c r="C40" i="15"/>
  <c r="Q56" i="15" s="1"/>
  <c r="Q67" i="15"/>
  <c r="L57" i="15"/>
  <c r="L60" i="15" s="1"/>
  <c r="L46" i="15" s="1"/>
  <c r="Q69" i="15"/>
  <c r="Q68" i="15" s="1"/>
  <c r="Q47" i="15"/>
  <c r="Q53" i="15" s="1"/>
  <c r="C49" i="11"/>
  <c r="C51" i="11" s="1"/>
  <c r="C52" i="11" s="1"/>
  <c r="B2" i="11" s="1"/>
  <c r="B3" i="11" s="1"/>
  <c r="C46" i="69"/>
  <c r="C45" i="69" s="1"/>
  <c r="C46" i="68"/>
  <c r="C45" i="68" s="1"/>
  <c r="C43" i="68"/>
  <c r="C41" i="68" s="1"/>
  <c r="C28" i="69"/>
  <c r="C27" i="69" s="1"/>
  <c r="C25" i="69"/>
  <c r="C22" i="69" s="1"/>
  <c r="D13" i="71"/>
  <c r="C12"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78"/>
  <c r="B2" i="15" l="1"/>
  <c r="C46" i="78"/>
  <c r="C27" i="12"/>
  <c r="C25" i="12" s="1"/>
  <c r="C32" i="12" s="1"/>
  <c r="B2" i="12" s="1"/>
  <c r="B3" i="12" s="1"/>
  <c r="Q67" i="78"/>
  <c r="Q47" i="78"/>
  <c r="Q53" i="78" s="1"/>
  <c r="B2" i="78"/>
  <c r="Q56" i="78"/>
  <c r="Q62" i="78" s="1"/>
  <c r="C43" i="78"/>
  <c r="Q65" i="78"/>
  <c r="Q75" i="78" s="1"/>
  <c r="C83" i="78"/>
  <c r="C82" i="78" s="1"/>
  <c r="C49" i="69"/>
  <c r="C51" i="69" s="1"/>
  <c r="Q66" i="15"/>
  <c r="C43" i="15"/>
  <c r="Q65" i="15"/>
  <c r="C83" i="15"/>
  <c r="C82" i="15" s="1"/>
  <c r="C46" i="15"/>
  <c r="Q57" i="15"/>
  <c r="Q62" i="15" s="1"/>
  <c r="C31" i="69"/>
  <c r="C49" i="68"/>
  <c r="C51" i="68" s="1"/>
  <c r="C56" i="11"/>
  <c r="C57" i="11" s="1"/>
  <c r="C11" i="71"/>
  <c r="T12" i="71"/>
  <c r="D12" i="71"/>
  <c r="U12" i="71" s="1"/>
  <c r="H7" i="39"/>
  <c r="J7" i="39"/>
  <c r="AA7" i="39"/>
  <c r="R47" i="39" s="1"/>
  <c r="S7" i="39"/>
  <c r="R39" i="35"/>
  <c r="E38" i="35"/>
  <c r="M63" i="40"/>
  <c r="L65" i="40"/>
  <c r="AO6" i="1"/>
  <c r="AO7" i="1"/>
  <c r="B6" i="70" l="1"/>
  <c r="B3" i="15"/>
  <c r="C52" i="69"/>
  <c r="B2" i="69" s="1"/>
  <c r="B3" i="69" s="1"/>
  <c r="B7" i="70"/>
  <c r="B3" i="78"/>
  <c r="Q75" i="15"/>
  <c r="C10" i="71"/>
  <c r="D11" i="71"/>
  <c r="E47" i="39"/>
  <c r="W7" i="39"/>
  <c r="AC7" i="39"/>
  <c r="V47" i="39" s="1"/>
  <c r="I47" i="39" s="1"/>
  <c r="U7" i="39"/>
  <c r="AB7" i="39"/>
  <c r="T47" i="39" s="1"/>
  <c r="G47" i="39" s="1"/>
  <c r="C39" i="35"/>
  <c r="B2" i="35" s="1"/>
  <c r="B3" i="35" s="1"/>
  <c r="C38" i="35"/>
  <c r="N63" i="40"/>
  <c r="M65" i="40"/>
  <c r="E43" i="35"/>
  <c r="F43" i="35" s="1"/>
  <c r="E42" i="35"/>
  <c r="F42" i="35" s="1"/>
  <c r="I43" i="35"/>
  <c r="J43" i="35" s="1"/>
  <c r="R48" i="39" l="1"/>
  <c r="C47" i="39" s="1"/>
  <c r="B2" i="70"/>
  <c r="B3" i="70" s="1"/>
  <c r="C57" i="69"/>
  <c r="C56" i="69" s="1"/>
  <c r="D10" i="71"/>
  <c r="C9" i="71"/>
  <c r="E52" i="39"/>
  <c r="F52" i="39" s="1"/>
  <c r="E51" i="39"/>
  <c r="F51" i="39" s="1"/>
  <c r="G51" i="39"/>
  <c r="H51" i="39" s="1"/>
  <c r="G52" i="39"/>
  <c r="H52" i="39" s="1"/>
  <c r="I51" i="39"/>
  <c r="J51" i="39" s="1"/>
  <c r="I52" i="39"/>
  <c r="J52" i="39" s="1"/>
  <c r="O63" i="40"/>
  <c r="O65" i="40" s="1"/>
  <c r="N65" i="40"/>
  <c r="D20" i="9"/>
  <c r="D19" i="9"/>
  <c r="C48" i="39" l="1"/>
  <c r="B57" i="39" s="1"/>
  <c r="F57" i="39" s="1"/>
  <c r="D21" i="9"/>
  <c r="D102" i="9"/>
  <c r="D103" i="9"/>
  <c r="C8" i="71"/>
  <c r="D9" i="71"/>
  <c r="B56" i="39"/>
  <c r="F56" i="39" s="1"/>
  <c r="J7" i="40"/>
  <c r="F7" i="40"/>
  <c r="H7" i="40"/>
  <c r="B60" i="39" l="1"/>
  <c r="F60" i="39" s="1"/>
  <c r="B65" i="39"/>
  <c r="F65" i="39" s="1"/>
  <c r="B61" i="39"/>
  <c r="F61" i="39" s="1"/>
  <c r="B64" i="39"/>
  <c r="F64" i="39" s="1"/>
  <c r="B62" i="39"/>
  <c r="F62" i="39" s="1"/>
  <c r="B59" i="39"/>
  <c r="F59" i="39" s="1"/>
  <c r="B63" i="39"/>
  <c r="F63" i="39" s="1"/>
  <c r="B58" i="39"/>
  <c r="F58" i="39" s="1"/>
  <c r="C7" i="71"/>
  <c r="T8" i="71"/>
  <c r="D8" i="71"/>
  <c r="U8" i="71" s="1"/>
  <c r="U7" i="40"/>
  <c r="AB7" i="40"/>
  <c r="T42" i="40" s="1"/>
  <c r="G42" i="40" s="1"/>
  <c r="AA7" i="40"/>
  <c r="R42" i="40" s="1"/>
  <c r="S7" i="40"/>
  <c r="AC7" i="40"/>
  <c r="V42" i="40" s="1"/>
  <c r="I42" i="40" s="1"/>
  <c r="W7" i="40"/>
  <c r="F66" i="39" l="1"/>
  <c r="C6" i="71"/>
  <c r="D7" i="71"/>
  <c r="I46" i="40"/>
  <c r="J46" i="40" s="1"/>
  <c r="R43" i="40"/>
  <c r="E42" i="40"/>
  <c r="G47" i="40"/>
  <c r="H47" i="40" s="1"/>
  <c r="G46" i="40"/>
  <c r="H46" i="40" s="1"/>
  <c r="B2" i="39" l="1"/>
  <c r="B3" i="39" s="1"/>
  <c r="C6" i="68"/>
  <c r="D6" i="71"/>
  <c r="C5" i="71"/>
  <c r="C42" i="40"/>
  <c r="C43" i="40"/>
  <c r="E47" i="40"/>
  <c r="F47" i="40" s="1"/>
  <c r="E46" i="40"/>
  <c r="F46" i="40" s="1"/>
  <c r="I47" i="40"/>
  <c r="J47" i="40" s="1"/>
  <c r="C7" i="68" l="1"/>
  <c r="C5" i="68" s="1"/>
  <c r="M20" i="43"/>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8" i="68" l="1"/>
  <c r="C27" i="68" s="1"/>
  <c r="C22" i="68"/>
  <c r="C31" i="68" l="1"/>
  <c r="C52" i="68" s="1"/>
  <c r="B2" i="68" s="1"/>
  <c r="C19" i="9"/>
  <c r="C57" i="68" l="1"/>
  <c r="C56" i="68" s="1"/>
  <c r="C21" i="9"/>
  <c r="C102" i="9"/>
  <c r="G19" i="9"/>
  <c r="J22" i="9" s="1"/>
  <c r="D22" i="9"/>
  <c r="B3" i="68"/>
  <c r="D35" i="9"/>
  <c r="D34" i="9"/>
  <c r="C20" i="9"/>
  <c r="J21" i="9" l="1"/>
  <c r="C103" i="9"/>
  <c r="G20" i="9"/>
  <c r="G21" i="9"/>
  <c r="C32" i="9"/>
  <c r="C35" i="9" l="1"/>
  <c r="H118" i="9"/>
  <c r="I118" i="9" l="1"/>
  <c r="C104" i="9"/>
  <c r="H101" i="9"/>
  <c r="H119" i="9"/>
  <c r="H5" i="52" s="1"/>
  <c r="H4" i="52"/>
  <c r="D14" i="74"/>
  <c r="C34" i="9"/>
  <c r="D118" i="9" s="1"/>
  <c r="F118" i="9"/>
  <c r="G118" i="9" l="1"/>
  <c r="G4" i="52" s="1"/>
  <c r="B52" i="72" s="1"/>
  <c r="F4" i="52"/>
  <c r="B51" i="72" s="1"/>
  <c r="F119" i="9"/>
  <c r="F5" i="52" s="1"/>
  <c r="B53" i="72" s="1"/>
  <c r="B5" i="74"/>
  <c r="F14" i="74"/>
  <c r="E14" i="74"/>
  <c r="D4" i="52"/>
  <c r="B47" i="72" s="1"/>
  <c r="D119" i="9"/>
  <c r="D5" i="52" s="1"/>
  <c r="B49" i="72" s="1"/>
  <c r="D45" i="9"/>
  <c r="M48" i="9"/>
  <c r="H107" i="9"/>
  <c r="D5" i="53"/>
  <c r="C105" i="9"/>
  <c r="I4" i="52"/>
  <c r="H102" i="9"/>
  <c r="D7" i="53" s="1"/>
  <c r="B21" i="72" s="1"/>
  <c r="E118" i="9" l="1"/>
  <c r="E4" i="52" s="1"/>
  <c r="B48" i="72" s="1"/>
  <c r="H108" i="9"/>
  <c r="D15" i="53" s="1"/>
  <c r="B31" i="72" s="1"/>
  <c r="D13" i="53"/>
  <c r="D122" i="9"/>
  <c r="M49" i="9"/>
  <c r="C93" i="9"/>
  <c r="C86" i="9" s="1"/>
  <c r="C85" i="9"/>
  <c r="D53" i="9"/>
  <c r="D52" i="9"/>
  <c r="C78" i="9"/>
  <c r="C73" i="9" s="1"/>
  <c r="C72" i="9"/>
  <c r="C64" i="9"/>
  <c r="C63" i="9" s="1"/>
  <c r="C67" i="9" s="1"/>
  <c r="D55" i="9"/>
  <c r="M53" i="9" s="1"/>
  <c r="D6" i="53"/>
  <c r="B22" i="72" s="1"/>
  <c r="B20" i="72"/>
  <c r="C5" i="74"/>
  <c r="D5" i="74"/>
  <c r="C79" i="9" l="1"/>
  <c r="C95" i="9"/>
  <c r="C80" i="9"/>
  <c r="E80" i="9" s="1"/>
  <c r="E81" i="9" s="1"/>
  <c r="C96" i="9"/>
  <c r="E96" i="9" s="1"/>
  <c r="E97" i="9" s="1"/>
  <c r="L65" i="9"/>
  <c r="M65" i="9" s="1"/>
  <c r="L66" i="9"/>
  <c r="M66" i="9" s="1"/>
  <c r="L63" i="9"/>
  <c r="M63" i="9" s="1"/>
  <c r="L68" i="9"/>
  <c r="M68" i="9" s="1"/>
  <c r="L64" i="9"/>
  <c r="M64" i="9" s="1"/>
  <c r="L67" i="9"/>
  <c r="M67" i="9" s="1"/>
  <c r="B30" i="72"/>
  <c r="D14" i="53"/>
  <c r="B32" i="72" s="1"/>
  <c r="D59" i="9"/>
  <c r="M55" i="9" s="1"/>
  <c r="C68" i="9"/>
  <c r="D54" i="9" s="1"/>
  <c r="D8" i="52"/>
  <c r="D123" i="9"/>
  <c r="D9" i="52" s="1"/>
  <c r="G14" i="74"/>
  <c r="B6" i="74" s="1"/>
  <c r="M69" i="9" l="1"/>
  <c r="N69" i="9" s="1"/>
  <c r="D6" i="74"/>
  <c r="C6" i="74"/>
  <c r="C97" i="9"/>
  <c r="D58" i="9" s="1"/>
  <c r="D56" i="9" s="1"/>
  <c r="M54" i="9" s="1"/>
  <c r="N57" i="9" s="1"/>
  <c r="C81" i="9"/>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14827B8-2822-4799-BB9E-D79B6161A21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0163114-4CFB-4242-A909-2282190CD95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D5CE63E-6C4F-42ED-B570-A7A0F0521F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5DDA7FB-6333-4F20-885C-BED98D833E1F}">
      <text>
        <r>
          <rPr>
            <sz val="11"/>
            <color indexed="81"/>
            <rFont val="宋体"/>
            <family val="3"/>
            <charset val="134"/>
          </rPr>
          <t>在建项目均选择“是”</t>
        </r>
      </text>
    </comment>
    <comment ref="F59" authorId="1" shapeId="0" xr:uid="{5298F932-C98C-454C-A329-AA0D6DB1884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6C24B35-D394-4A0B-B595-408B7A426DF2}">
      <text>
        <r>
          <rPr>
            <sz val="10"/>
            <color indexed="81"/>
            <rFont val="宋体"/>
            <family val="3"/>
            <charset val="134"/>
          </rPr>
          <t xml:space="preserve">在建
</t>
        </r>
      </text>
    </comment>
    <comment ref="N59" authorId="0" shapeId="0" xr:uid="{B6F48E0D-EB52-466D-89A2-80329EED8D6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<sst xmlns="http://schemas.openxmlformats.org/spreadsheetml/2006/main" count="8122" uniqueCount="3272">
  <si>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</si>
  <si>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</si>
  <si>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</si>
  <si>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</si>
  <si>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</si>
  <si>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</si>
  <si>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</si>
  <si>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</si>
  <si>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</si>
  <si>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</si>
  <si>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</si>
  <si>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</si>
  <si>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</si>
  <si>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</si>
  <si>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</si>
  <si>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</si>
  <si>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</si>
  <si>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</si>
  <si>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</si>
  <si>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</si>
  <si>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</si>
  <si>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</si>
  <si>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</si>
  <si>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</si>
  <si>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</si>
  <si>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</si>
  <si>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</si>
  <si>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</si>
  <si>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</si>
  <si>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</si>
  <si>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</si>
  <si>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</si>
  <si>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</si>
  <si>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</si>
  <si>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</si>
  <si>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</si>
  <si>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</si>
  <si>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</si>
  <si>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</si>
  <si>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</si>
  <si>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</si>
  <si>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</si>
  <si>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</si>
  <si>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</si>
  <si>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</si>
  <si>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</si>
  <si>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</si>
  <si>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</si>
  <si>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</si>
  <si>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</si>
  <si>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</si>
  <si>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</si>
  <si>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</si>
  <si>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</si>
  <si>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</si>
  <si>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</si>
  <si>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</si>
  <si>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</si>
  <si>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</si>
  <si>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</si>
  <si>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</si>
  <si>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</si>
  <si>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</si>
  <si>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</si>
  <si>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</si>
  <si>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</si>
  <si>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</si>
  <si>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</si>
  <si>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</si>
  <si>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</si>
  <si>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</si>
  <si>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</si>
  <si>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</si>
  <si>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</si>
  <si>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</si>
  <si>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</si>
  <si>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</si>
  <si>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</si>
  <si>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</si>
  <si>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</si>
  <si>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</si>
  <si>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</si>
  <si>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</si>
  <si>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</si>
  <si>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</si>
  <si>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</si>
  <si>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</si>
  <si>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</si>
  <si>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</si>
  <si>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</si>
  <si>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</si>
  <si>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</si>
  <si>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</si>
  <si>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</si>
  <si>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</si>
  <si>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</si>
  <si>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</si>
  <si>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</si>
  <si>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</si>
  <si>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</si>
  <si>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</si>
  <si>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</si>
  <si>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</si>
  <si>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</si>
  <si>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</si>
  <si>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</si>
  <si>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</si>
  <si>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</si>
  <si>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</si>
  <si>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</si>
  <si>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</si>
  <si>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</si>
  <si>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</si>
  <si>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</si>
  <si>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</si>
  <si>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</si>
  <si>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</si>
  <si>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</si>
  <si>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</si>
  <si>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</si>
  <si>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</si>
  <si>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</si>
  <si>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</si>
  <si>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</si>
  <si>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</si>
  <si>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</si>
  <si>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</si>
  <si>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</si>
  <si>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</si>
  <si>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</si>
  <si>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</si>
  <si>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</si>
  <si>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</si>
  <si>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</si>
  <si>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</si>
  <si>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</si>
  <si>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</si>
  <si>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</si>
  <si>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</si>
  <si>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</si>
  <si>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</si>
  <si>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</si>
  <si>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</si>
  <si>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</si>
  <si>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</si>
  <si>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</si>
  <si>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</si>
  <si>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</si>
  <si>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</si>
  <si>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</si>
  <si>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</si>
  <si>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</si>
  <si>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</si>
  <si>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</si>
  <si>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</si>
  <si>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</si>
  <si>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</si>
  <si>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</si>
  <si>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</si>
  <si>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</si>
  <si>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</si>
  <si>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</si>
  <si>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</si>
  <si>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</si>
  <si>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</si>
  <si>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</si>
  <si>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</si>
  <si>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</si>
  <si>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</si>
  <si>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</si>
  <si>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</si>
  <si>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</si>
  <si>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</si>
  <si>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</si>
  <si>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</si>
  <si>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</si>
  <si>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</si>
  <si>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</si>
  <si>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</si>
  <si>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</si>
  <si>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</si>
  <si>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</si>
  <si>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</si>
  <si>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</si>
  <si>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</si>
  <si>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</si>
  <si>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</si>
  <si>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</si>
  <si>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</si>
  <si>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</si>
  <si>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</si>
  <si>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</si>
  <si>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</si>
  <si>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</si>
  <si>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</si>
  <si>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</si>
  <si>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</si>
  <si>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</si>
  <si>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</si>
  <si>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</si>
  <si>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</si>
  <si>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</si>
  <si>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</si>
  <si>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</si>
  <si>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</si>
  <si>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</si>
  <si>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</si>
  <si>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</si>
  <si>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</si>
  <si>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</si>
  <si>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</si>
  <si>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</si>
  <si>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</si>
  <si>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</si>
  <si>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</si>
  <si>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</si>
  <si>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</si>
  <si>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</si>
  <si>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</si>
  <si>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</si>
  <si>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</si>
  <si>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</si>
  <si>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</si>
  <si>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</si>
  <si>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</si>
  <si>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</si>
  <si>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</si>
  <si>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</si>
  <si>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</si>
  <si>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</si>
  <si>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</si>
  <si>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</si>
  <si>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</si>
  <si>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</si>
  <si>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</si>
  <si>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</si>
  <si>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</si>
  <si>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</si>
  <si>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</si>
  <si>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</si>
  <si>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</si>
  <si>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</si>
  <si>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</si>
  <si>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</si>
  <si>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</si>
  <si>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</si>
  <si>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</si>
  <si>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</si>
  <si>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</si>
  <si>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</si>
  <si>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</si>
  <si>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</si>
  <si>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</si>
  <si>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</si>
  <si>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</si>
  <si>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</si>
  <si>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</si>
  <si>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</si>
  <si>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</si>
  <si>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</si>
  <si>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</si>
  <si>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</si>
  <si>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</si>
  <si>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</si>
  <si>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</si>
  <si>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</si>
  <si>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</si>
  <si>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</si>
  <si>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</si>
  <si>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</si>
  <si>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</si>
  <si>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</si>
  <si>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</si>
  <si>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</si>
  <si>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</si>
  <si>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</si>
  <si>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</si>
  <si>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</si>
  <si>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</si>
  <si>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</si>
  <si>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</si>
  <si>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</si>
  <si>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</si>
  <si>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</si>
  <si>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</si>
  <si>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</si>
  <si>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</si>
  <si>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</si>
  <si>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</si>
  <si>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</si>
  <si>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</si>
  <si>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</si>
  <si>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</si>
  <si>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</si>
  <si>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</si>
  <si>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</si>
  <si>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</si>
  <si>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</si>
  <si>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</si>
  <si>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</si>
  <si>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</si>
  <si>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</si>
  <si>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</si>
  <si>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</si>
  <si>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</si>
  <si>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</si>
  <si>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</si>
  <si>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</si>
  <si>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</si>
  <si>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</si>
  <si>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</si>
  <si>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</si>
  <si>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</si>
  <si>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</si>
  <si>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</si>
  <si>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</si>
  <si>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</si>
  <si>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</si>
  <si>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</si>
  <si>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</si>
  <si>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</si>
  <si>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</si>
  <si>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</si>
  <si>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</si>
  <si>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</si>
  <si>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</si>
  <si>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</si>
  <si>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</si>
  <si>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</si>
  <si>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</si>
  <si>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</si>
  <si>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</si>
  <si>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</si>
  <si>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</si>
  <si>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</si>
  <si>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</si>
  <si>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</si>
  <si>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</si>
  <si>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</si>
  <si>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</si>
  <si>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</si>
  <si>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</si>
  <si>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</si>
  <si>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</si>
  <si>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</si>
  <si>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</si>
  <si>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</si>
  <si>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</si>
  <si>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</si>
  <si>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</si>
  <si>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</si>
  <si>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</si>
  <si>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</si>
  <si>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</si>
  <si>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</si>
  <si>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</si>
  <si>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</si>
  <si>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</si>
  <si>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</si>
  <si>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</si>
  <si>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</si>
  <si>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</si>
  <si>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</si>
  <si>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</si>
  <si>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</si>
  <si>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</si>
  <si>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</si>
  <si>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</si>
  <si>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</si>
  <si>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</si>
  <si>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</si>
  <si>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</si>
  <si>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</si>
  <si>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</si>
  <si>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</si>
  <si>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</si>
  <si>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</si>
  <si>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</si>
  <si>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</si>
  <si>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</si>
  <si>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</si>
  <si>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</si>
  <si>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</si>
  <si>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</si>
  <si>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</si>
  <si>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</si>
  <si>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</si>
  <si>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</si>
  <si>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</si>
  <si>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</si>
  <si>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</si>
  <si>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</si>
  <si>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</si>
  <si>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</si>
  <si>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</si>
  <si>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</si>
  <si>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</si>
  <si>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</si>
  <si>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</si>
  <si>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</si>
  <si>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</si>
  <si>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</si>
  <si>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</si>
  <si>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</si>
  <si>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</si>
  <si>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</si>
  <si>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</si>
  <si>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</si>
  <si>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</si>
  <si>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</si>
  <si>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</si>
  <si>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</si>
  <si>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</si>
  <si>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</si>
  <si>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</si>
  <si>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</si>
  <si>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</si>
  <si>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</si>
  <si>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</si>
  <si>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</si>
  <si>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</si>
  <si>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</si>
  <si>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</si>
  <si>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</si>
  <si>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</si>
  <si>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</si>
  <si>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</si>
  <si>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</si>
  <si>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</si>
  <si>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</si>
  <si>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</si>
  <si>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</si>
  <si>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</si>
  <si>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</si>
  <si>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</si>
  <si>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</si>
  <si>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</si>
  <si>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</si>
  <si>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</si>
  <si>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</si>
  <si>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</si>
  <si>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</si>
  <si>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</si>
  <si>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</si>
  <si>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</si>
  <si>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</si>
  <si>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</si>
  <si>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</si>
  <si>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</si>
  <si>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</si>
  <si>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</si>
  <si>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</si>
  <si>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</si>
  <si>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</si>
  <si>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</si>
  <si>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</si>
  <si>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</si>
  <si>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</si>
  <si>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</si>
  <si>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</si>
  <si>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</si>
  <si>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</si>
  <si>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</si>
  <si>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</si>
  <si>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</si>
  <si>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</si>
  <si>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</si>
  <si>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</si>
  <si>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</si>
  <si>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</si>
  <si>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</si>
  <si>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</si>
  <si>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</si>
  <si>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</si>
  <si>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</si>
  <si>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</si>
  <si>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</si>
  <si>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</si>
  <si>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</si>
  <si>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</si>
  <si>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</si>
  <si>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</si>
  <si>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</si>
  <si>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</si>
  <si>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</si>
  <si>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</si>
  <si>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</si>
  <si>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</si>
  <si>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</si>
  <si>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</si>
  <si>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</si>
  <si>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</si>
  <si>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</si>
  <si>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</si>
  <si>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</si>
  <si>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</si>
  <si>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</si>
  <si>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</si>
  <si>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</si>
  <si>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</si>
  <si>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</si>
  <si>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</si>
  <si>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</si>
  <si>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</si>
  <si>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</si>
  <si>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</si>
  <si>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</si>
  <si>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</si>
  <si>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</si>
  <si>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</si>
  <si>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</si>
  <si>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</si>
  <si>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</si>
  <si>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</si>
  <si>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</si>
  <si>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</si>
  <si>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</si>
  <si>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</si>
  <si>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</si>
  <si>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</si>
  <si>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</si>
  <si>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</si>
  <si>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</si>
  <si>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</si>
  <si>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</si>
  <si>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</si>
  <si>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</si>
  <si>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</si>
  <si>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</si>
  <si>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</si>
  <si>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</si>
  <si>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</si>
  <si>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</si>
  <si>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</si>
  <si>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</si>
  <si>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</si>
  <si>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</si>
  <si>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</si>
  <si>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</si>
  <si>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</si>
  <si>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</si>
  <si>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</si>
  <si>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</si>
  <si>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</si>
  <si>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</si>
  <si>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</si>
  <si>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</si>
  <si>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</si>
  <si>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</si>
  <si>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</si>
  <si>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</si>
  <si>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</si>
  <si>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</si>
  <si>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</si>
  <si>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</si>
  <si>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</si>
  <si>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</si>
  <si>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</si>
  <si>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</si>
  <si>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</si>
  <si>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</si>
  <si>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</si>
  <si>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</si>
  <si>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</si>
  <si>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</si>
  <si>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</si>
  <si>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</si>
  <si>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</si>
  <si>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</si>
  <si>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</si>
  <si>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</si>
  <si>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</si>
  <si>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</si>
  <si>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</si>
  <si>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</si>
  <si>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</si>
  <si>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</si>
  <si>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</si>
  <si>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</si>
  <si>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</si>
  <si>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</si>
  <si>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</si>
  <si>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</si>
  <si>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</si>
  <si>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</si>
  <si>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</si>
  <si>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</si>
  <si>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</si>
  <si>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</si>
  <si>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</si>
  <si>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</si>
  <si>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</si>
  <si>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</si>
  <si>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</si>
  <si>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</si>
  <si>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</si>
  <si>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</si>
  <si>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</si>
  <si>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</si>
  <si>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</si>
  <si>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</si>
  <si>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</si>
  <si>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</si>
  <si>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</si>
  <si>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</si>
  <si>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</si>
  <si>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</si>
  <si>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</si>
  <si>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</si>
  <si>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</si>
  <si>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</si>
  <si>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</si>
  <si>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</si>
  <si>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</si>
  <si>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</si>
  <si>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</si>
  <si>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</si>
  <si>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</si>
  <si>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</si>
  <si>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</si>
  <si>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</si>
  <si>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</si>
  <si>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</si>
  <si>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</si>
  <si>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</si>
  <si>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</si>
  <si>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</si>
  <si>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</si>
  <si>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</si>
  <si>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</si>
  <si>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</si>
  <si>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</si>
  <si>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</si>
  <si>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</si>
  <si>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</si>
  <si>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</si>
  <si>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</si>
  <si>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</si>
  <si>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</si>
  <si>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</si>
  <si>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</si>
  <si>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</si>
  <si>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</si>
  <si>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</si>
  <si>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</si>
  <si>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</si>
  <si>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</si>
  <si>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</si>
  <si>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</si>
  <si>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</si>
  <si>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</si>
  <si>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</si>
  <si>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</si>
  <si>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</si>
  <si>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</si>
  <si>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</si>
  <si>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</si>
  <si>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</si>
  <si>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</si>
  <si>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</si>
  <si>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</si>
  <si>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</si>
  <si>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</si>
  <si>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</si>
  <si>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</si>
  <si>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</si>
  <si>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</si>
  <si>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</si>
  <si>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</si>
  <si>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</si>
  <si>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</si>
  <si>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</si>
  <si>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</si>
  <si>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</si>
  <si>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</si>
  <si>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</si>
  <si>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</si>
  <si>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</si>
  <si>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</si>
  <si>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</si>
  <si>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</si>
  <si>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</si>
  <si>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</si>
  <si>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</si>
  <si>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</si>
  <si>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</si>
  <si>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</si>
  <si>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</si>
  <si>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</si>
  <si>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</si>
  <si>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</si>
  <si>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</si>
  <si>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</si>
  <si>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</si>
  <si>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</si>
  <si>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</si>
  <si>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</si>
  <si>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</si>
  <si>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</si>
  <si>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</si>
  <si>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</si>
  <si>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</si>
  <si>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</si>
  <si>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</si>
  <si>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</si>
  <si>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</si>
  <si>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</si>
  <si>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</si>
  <si>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</si>
  <si>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</si>
  <si>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</si>
  <si>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</si>
  <si>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</si>
  <si>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</si>
  <si>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</si>
  <si>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</si>
  <si>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</si>
  <si>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</si>
  <si>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</si>
  <si>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</si>
  <si>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</si>
  <si>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</si>
  <si>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</si>
  <si>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</si>
  <si>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</si>
  <si>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</si>
  <si>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</si>
  <si>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</si>
  <si>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</si>
  <si>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</si>
  <si>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</si>
  <si>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</si>
  <si>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</si>
  <si>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</si>
  <si>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</si>
  <si>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</si>
  <si>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</si>
  <si>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</si>
  <si>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</si>
  <si>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</si>
  <si>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</si>
  <si>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</si>
  <si>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</si>
  <si>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</si>
  <si>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</si>
  <si>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</si>
  <si>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</si>
  <si>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</si>
  <si>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</si>
  <si>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</si>
  <si>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</si>
  <si>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</si>
  <si>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</si>
  <si>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</si>
  <si>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</si>
  <si>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</si>
  <si>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</si>
  <si>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</si>
  <si>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</si>
  <si>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</si>
  <si>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</si>
  <si>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</si>
  <si>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</si>
  <si>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</si>
  <si>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</si>
  <si>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</si>
  <si>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</si>
  <si>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</si>
  <si>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</si>
  <si>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</si>
  <si>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</si>
  <si>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</si>
  <si>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</si>
  <si>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</si>
  <si>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</si>
  <si>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</si>
  <si>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</si>
  <si>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</si>
  <si>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</si>
  <si>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</si>
  <si>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</si>
  <si>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</si>
  <si>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</si>
  <si>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</si>
  <si>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</si>
  <si>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</si>
  <si>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</si>
  <si>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</si>
  <si>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</si>
  <si>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</si>
  <si>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</si>
  <si>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</si>
  <si>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</si>
  <si>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</si>
  <si>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</si>
  <si>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</si>
  <si>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</si>
  <si>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</si>
  <si>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</si>
  <si>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</si>
  <si>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</si>
  <si>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</si>
  <si>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</si>
  <si>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</si>
  <si>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</si>
  <si>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</si>
  <si>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</si>
  <si>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</si>
  <si>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</si>
  <si>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</si>
  <si>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</si>
  <si>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</si>
  <si>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</si>
  <si>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</si>
  <si>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</si>
  <si>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</si>
  <si>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</si>
  <si>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</si>
  <si>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</si>
  <si>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</si>
  <si>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</si>
  <si>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</si>
  <si>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</si>
  <si>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</si>
  <si>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</si>
  <si>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</si>
  <si>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</si>
  <si>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</si>
  <si>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</si>
  <si>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</si>
  <si>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</si>
  <si>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</si>
  <si>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</si>
  <si>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</si>
  <si>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</si>
  <si>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</si>
  <si>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</si>
  <si>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</si>
  <si>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</si>
  <si>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</si>
  <si>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</si>
  <si>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</si>
  <si>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</si>
  <si>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</si>
  <si>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</si>
  <si>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</si>
  <si>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</si>
  <si>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</si>
  <si>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</si>
  <si>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</si>
  <si>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</si>
  <si>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</si>
  <si>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</si>
  <si>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</si>
  <si>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</si>
  <si>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</si>
  <si>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</si>
  <si>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</si>
  <si>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</si>
  <si>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</si>
  <si>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</si>
  <si>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</si>
  <si>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</si>
  <si>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</si>
  <si>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</si>
  <si>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</si>
  <si>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</si>
  <si>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</si>
  <si>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</si>
  <si>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</si>
  <si>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</si>
  <si>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</si>
  <si>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</si>
  <si>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</si>
  <si>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</si>
  <si>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</si>
  <si>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</si>
  <si>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</si>
  <si>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</si>
  <si>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</si>
  <si>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</si>
  <si>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</si>
  <si>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</si>
  <si>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</si>
  <si>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</si>
  <si>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</si>
  <si>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</si>
  <si>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</si>
  <si>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</si>
  <si>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</si>
  <si>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</si>
  <si>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</si>
  <si>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</si>
  <si>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</si>
  <si>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</si>
  <si>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</si>
  <si>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</si>
  <si>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</si>
  <si>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</si>
  <si>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</si>
  <si>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</si>
  <si>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</si>
  <si>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</si>
  <si>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</si>
  <si>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</si>
  <si>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</si>
  <si>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</si>
  <si>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</si>
  <si>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</si>
  <si>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</si>
  <si>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</si>
  <si>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</si>
  <si>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</si>
  <si>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</si>
  <si>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</si>
  <si>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</si>
  <si>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</si>
  <si>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</si>
  <si>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</si>
  <si>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</si>
  <si>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</si>
  <si>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</si>
  <si>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</si>
  <si>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</si>
  <si>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</si>
  <si>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</si>
  <si>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</si>
  <si>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</si>
  <si>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</si>
  <si>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</si>
  <si>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</si>
  <si>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</si>
  <si>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</si>
  <si>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</si>
  <si>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</si>
  <si>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</si>
  <si>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</si>
  <si>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</si>
  <si>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</si>
  <si>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</si>
  <si>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</si>
  <si>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</si>
  <si>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</si>
  <si>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</si>
  <si>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</si>
  <si>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</si>
  <si>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</si>
  <si>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</si>
  <si>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</si>
  <si>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</si>
  <si>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</si>
  <si>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</si>
  <si>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</si>
  <si>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</si>
  <si>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</si>
  <si>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</si>
  <si>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</si>
  <si>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</si>
  <si>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</si>
  <si>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</si>
  <si>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</si>
  <si>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</si>
  <si>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</si>
  <si>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</si>
  <si>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</si>
  <si>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</si>
  <si>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</si>
  <si>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</si>
  <si>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</si>
  <si>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</si>
  <si>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</si>
  <si>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</si>
  <si>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</si>
  <si>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</si>
  <si>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</si>
  <si>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</si>
  <si>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</si>
  <si>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</si>
  <si>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</si>
  <si>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</si>
  <si>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</si>
  <si>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</si>
  <si>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</si>
  <si>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</si>
  <si>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</si>
  <si>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</si>
  <si>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</si>
  <si>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</si>
  <si>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</si>
  <si>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</si>
  <si>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</si>
  <si>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</si>
  <si>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</si>
  <si>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</si>
  <si>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</si>
  <si>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</si>
  <si>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</si>
  <si>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</si>
  <si>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</si>
  <si>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</si>
  <si>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</si>
  <si>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</si>
  <si>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</si>
  <si>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</si>
  <si>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</si>
  <si>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</si>
  <si>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</si>
  <si>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</si>
  <si>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</si>
  <si>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</si>
  <si>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</si>
  <si>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</si>
  <si>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</si>
  <si>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</si>
  <si>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</si>
  <si>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</si>
  <si>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</si>
  <si>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</si>
  <si>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</si>
  <si>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</si>
  <si>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</si>
  <si>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</si>
  <si>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</si>
  <si>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</si>
  <si>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</si>
  <si>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</si>
  <si>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</si>
  <si>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</si>
  <si>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</si>
  <si>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</si>
  <si>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</si>
  <si>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</si>
  <si>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</si>
  <si>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</si>
  <si>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</si>
  <si>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</si>
  <si>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</si>
  <si>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</si>
  <si>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</si>
  <si>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</si>
  <si>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</si>
  <si>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</si>
  <si>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</si>
  <si>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</si>
  <si>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</si>
  <si>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</si>
  <si>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</si>
  <si>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</si>
  <si>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</si>
  <si>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</si>
  <si>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</si>
  <si>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</si>
  <si>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</si>
  <si>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</si>
  <si>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</si>
  <si>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</si>
  <si>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</si>
  <si>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</si>
  <si>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</si>
  <si>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</si>
  <si>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</si>
  <si>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</si>
  <si>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</si>
  <si>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</si>
  <si>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</si>
  <si>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</si>
  <si>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</si>
  <si>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</si>
  <si>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</si>
  <si>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</si>
  <si>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</si>
  <si>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</si>
  <si>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</si>
  <si>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</si>
  <si>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</si>
  <si>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</si>
  <si>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</si>
  <si>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</si>
  <si>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</si>
  <si>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</si>
  <si>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</si>
  <si>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</si>
  <si>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</si>
  <si>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</si>
  <si>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</si>
  <si>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</si>
  <si>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</si>
  <si>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</si>
  <si>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</si>
  <si>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</si>
  <si>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</si>
  <si>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</si>
  <si>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</si>
  <si>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</si>
  <si>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</si>
  <si>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</si>
  <si>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</si>
  <si>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</si>
  <si>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</si>
  <si>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</si>
  <si>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</si>
  <si>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</si>
  <si>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</si>
  <si>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</si>
  <si>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</si>
  <si>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</si>
  <si>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</si>
  <si>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</si>
  <si>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</si>
  <si>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</si>
  <si>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</si>
  <si>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</si>
  <si>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</si>
  <si>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</si>
  <si>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</si>
  <si>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</si>
  <si>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</si>
  <si>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</si>
  <si>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</si>
  <si>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</si>
  <si>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</si>
  <si>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</si>
  <si>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</si>
  <si>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</si>
  <si>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</si>
  <si>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</si>
  <si>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</si>
  <si>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</si>
  <si>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</si>
  <si>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</si>
  <si>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</si>
  <si>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</si>
  <si>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</si>
  <si>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</si>
  <si>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</si>
  <si>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</si>
  <si>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</si>
  <si>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</si>
  <si>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</si>
  <si>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</si>
  <si>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</si>
  <si>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</si>
  <si>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</si>
  <si>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</si>
  <si>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</si>
  <si>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</si>
  <si>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</si>
  <si>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</si>
  <si>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</si>
  <si>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</si>
  <si>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</si>
  <si>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</si>
  <si>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</si>
  <si>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</si>
  <si>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</si>
  <si>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</si>
  <si>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</si>
  <si>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</si>
  <si>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</si>
  <si>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</si>
  <si>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</si>
  <si>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</si>
  <si>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</si>
  <si>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</si>
  <si>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</si>
  <si>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</si>
  <si>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</si>
  <si>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</si>
  <si>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</si>
  <si>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</si>
  <si>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</si>
  <si>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</si>
  <si>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</si>
  <si>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</si>
  <si>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</si>
  <si>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</si>
  <si>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</si>
  <si>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</si>
  <si>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</si>
  <si>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</si>
  <si>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</si>
  <si>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</si>
  <si>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</si>
  <si>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</si>
  <si>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</si>
  <si>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</si>
  <si>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</si>
  <si>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</si>
  <si>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</si>
  <si>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</si>
  <si>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</si>
  <si>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</si>
  <si>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</si>
  <si>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</si>
  <si>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</si>
  <si>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</si>
  <si>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</si>
  <si>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</si>
  <si>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</si>
  <si>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</si>
  <si>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</si>
  <si>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</si>
  <si>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</si>
  <si>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</si>
  <si>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</si>
  <si>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</si>
  <si>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</si>
  <si>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</si>
  <si>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</si>
  <si>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</si>
  <si>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</si>
  <si>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</si>
  <si>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</si>
  <si>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</si>
  <si>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</si>
  <si>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</si>
  <si>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</si>
  <si>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</si>
  <si>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</si>
  <si>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</si>
  <si>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</si>
  <si>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</si>
  <si>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</si>
  <si>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</si>
  <si>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</si>
  <si>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</si>
  <si>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</si>
  <si>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</si>
  <si>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</si>
  <si>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</si>
  <si>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</si>
  <si>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</si>
  <si>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</si>
  <si>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</si>
  <si>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</si>
  <si>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</si>
  <si>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</si>
  <si>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</si>
  <si>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</si>
  <si>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</si>
  <si>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</si>
  <si>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</si>
  <si>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</si>
  <si>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</si>
  <si>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</si>
  <si>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</si>
  <si>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</si>
  <si>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</si>
  <si>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</si>
  <si>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</si>
  <si>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</si>
  <si>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</si>
  <si>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</si>
  <si>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</si>
  <si>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</si>
  <si>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</si>
  <si>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</si>
  <si>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</si>
  <si>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</si>
  <si>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</si>
  <si>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</si>
  <si>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</si>
  <si>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</si>
  <si>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</si>
  <si>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</si>
  <si>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</si>
  <si>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</si>
  <si>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</si>
  <si>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</si>
  <si>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</si>
  <si>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</si>
  <si>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</si>
  <si>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</si>
  <si>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</si>
  <si>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</si>
  <si>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</si>
  <si>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</si>
  <si>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</si>
  <si>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</si>
  <si>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</si>
  <si>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</si>
  <si>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</si>
  <si>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</si>
  <si>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</si>
  <si>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</si>
  <si>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</si>
  <si>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</si>
  <si>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</si>
  <si>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</si>
  <si>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</si>
  <si>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</si>
  <si>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</si>
  <si>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</si>
  <si>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</si>
  <si>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</si>
  <si>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</si>
  <si>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</si>
  <si>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</si>
  <si>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</si>
  <si>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</si>
  <si>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</si>
  <si>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</si>
  <si>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</si>
  <si>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</si>
  <si>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</si>
  <si>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</si>
  <si>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</si>
  <si>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</si>
  <si>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</si>
  <si>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</si>
  <si>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</si>
  <si>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</si>
  <si>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</si>
  <si>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</si>
  <si>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</si>
  <si>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</si>
  <si>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</si>
  <si>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</si>
  <si>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</si>
  <si>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</si>
  <si>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</si>
  <si>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</si>
  <si>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</si>
  <si>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</si>
  <si>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</si>
  <si>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</si>
  <si>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</si>
  <si>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</si>
  <si>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</si>
  <si>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</si>
  <si>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</si>
  <si>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</si>
  <si>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</si>
  <si>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</si>
  <si>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</si>
  <si>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</si>
  <si>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</si>
  <si>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</si>
  <si>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</si>
  <si>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</si>
  <si>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</si>
  <si>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</si>
  <si>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</si>
  <si>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</si>
  <si>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</si>
  <si>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</si>
  <si>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</si>
  <si>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</si>
  <si>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</si>
  <si>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</si>
  <si>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</si>
  <si>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</si>
  <si>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</si>
  <si>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</si>
  <si>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</si>
  <si>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</si>
  <si>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</si>
  <si>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</si>
  <si>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</si>
  <si>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</si>
  <si>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</si>
  <si>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</si>
  <si>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</si>
  <si>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</si>
  <si>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</si>
  <si>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</si>
  <si>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</si>
  <si>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</si>
  <si>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</si>
  <si>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</si>
  <si>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</si>
  <si>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</si>
  <si>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</si>
  <si>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</si>
  <si>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</si>
  <si>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</si>
  <si>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</si>
  <si>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</si>
  <si>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</si>
  <si>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</si>
  <si>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</si>
  <si>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</si>
  <si>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</si>
  <si>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</si>
  <si>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</si>
  <si>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</si>
  <si>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</si>
  <si>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</si>
  <si>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</si>
  <si>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</si>
  <si>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</si>
  <si>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</si>
  <si>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</si>
  <si>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</si>
  <si>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</si>
  <si>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</si>
  <si>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</si>
  <si>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</si>
  <si>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</si>
  <si>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</si>
  <si>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</si>
  <si>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</si>
  <si>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</si>
  <si>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</si>
  <si>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</si>
  <si>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</si>
  <si>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</si>
  <si>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</si>
  <si>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</si>
  <si>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</si>
  <si>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</si>
  <si>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</si>
  <si>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</si>
  <si>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</si>
  <si>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</si>
  <si>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</si>
  <si>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</si>
  <si>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</si>
  <si>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</si>
  <si>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</si>
  <si>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</si>
  <si>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</si>
  <si>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</si>
  <si>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</si>
  <si>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</si>
  <si>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</si>
  <si>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</si>
  <si>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</si>
  <si>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</si>
  <si>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</si>
  <si>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</si>
  <si>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</si>
  <si>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</si>
  <si>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</si>
  <si>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</si>
  <si>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</si>
  <si>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</si>
  <si>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</si>
  <si>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</si>
  <si>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</si>
  <si>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</si>
  <si>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</si>
  <si>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</si>
  <si>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</si>
  <si>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</si>
  <si>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</si>
  <si>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</si>
  <si>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</si>
  <si>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</si>
  <si>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</si>
  <si>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</si>
  <si>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</si>
  <si>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</si>
  <si>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</si>
  <si>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</si>
  <si>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</si>
  <si>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</si>
  <si>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</si>
  <si>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</si>
  <si>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</si>
  <si>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</si>
  <si>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</si>
  <si>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</si>
  <si>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</si>
  <si>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</si>
  <si>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</si>
  <si>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</si>
  <si>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</si>
  <si>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</si>
  <si>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</si>
  <si>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</si>
  <si>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</si>
  <si>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</si>
  <si>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</si>
  <si>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</si>
  <si>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</si>
  <si>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</si>
  <si>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</si>
  <si>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</si>
  <si>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</si>
  <si>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</si>
  <si>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</si>
  <si>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</si>
  <si>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</si>
  <si>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</si>
  <si>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</si>
  <si>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</si>
  <si>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</si>
  <si>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</si>
  <si>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</si>
  <si>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</si>
  <si>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</si>
  <si>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</si>
  <si>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</si>
  <si>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</si>
  <si>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</si>
  <si>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</si>
  <si>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</si>
  <si>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</si>
  <si>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</si>
  <si>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</si>
  <si>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</si>
  <si>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</si>
  <si>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</si>
  <si>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</si>
  <si>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</si>
  <si>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</si>
  <si>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</si>
  <si>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</si>
  <si>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</si>
  <si>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</si>
  <si>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</si>
  <si>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</si>
  <si>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</si>
  <si>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</si>
  <si>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</si>
  <si>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</si>
  <si>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</si>
  <si>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</si>
  <si>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</si>
  <si>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</si>
  <si>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</si>
  <si>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</si>
  <si>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</si>
  <si>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</si>
  <si>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</si>
  <si>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</si>
  <si>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</si>
  <si>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</si>
  <si>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</si>
  <si>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</si>
  <si>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</si>
  <si>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</si>
  <si>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</si>
  <si>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</si>
  <si>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</si>
  <si>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</si>
  <si>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</si>
  <si>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</si>
  <si>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</si>
  <si>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</si>
  <si>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</si>
  <si>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</si>
  <si>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</si>
  <si>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</si>
  <si>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</si>
  <si>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</si>
  <si>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</si>
  <si>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</si>
  <si>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</si>
  <si>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</si>
  <si>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</si>
  <si>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</si>
  <si>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</si>
  <si>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</si>
  <si>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</si>
  <si>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</si>
  <si>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</si>
  <si>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</si>
  <si>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</si>
  <si>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</si>
  <si>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</si>
  <si>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</si>
  <si>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</si>
  <si>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</si>
  <si>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</si>
  <si>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</si>
  <si>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</si>
  <si>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</si>
  <si>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</si>
  <si>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</si>
  <si>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</si>
  <si>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</si>
  <si>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</si>
  <si>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</si>
  <si>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</si>
  <si>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</si>
  <si>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</si>
  <si>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</si>
  <si>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</si>
  <si>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</si>
  <si>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</si>
  <si>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</si>
  <si>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</si>
  <si>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</si>
  <si>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</si>
  <si>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</si>
  <si>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</si>
  <si>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</si>
  <si>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</si>
  <si>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</si>
  <si>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</si>
  <si>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</si>
  <si>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</si>
  <si>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</si>
  <si>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</si>
  <si>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</si>
  <si>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</si>
  <si>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</si>
  <si>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</si>
  <si>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</si>
  <si>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</si>
  <si>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</si>
  <si>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</si>
  <si>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</si>
  <si>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</si>
  <si>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</si>
  <si>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</si>
  <si>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</si>
  <si>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</si>
  <si>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</si>
  <si>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</si>
  <si>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</si>
  <si>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</si>
  <si>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</si>
  <si>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</si>
  <si>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</si>
  <si>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</si>
  <si>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</si>
  <si>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</si>
  <si>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</si>
  <si>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</si>
  <si>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</si>
  <si>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</si>
  <si>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</si>
  <si>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</si>
  <si>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</si>
  <si>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</si>
  <si>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</si>
  <si>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</si>
  <si>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</si>
  <si>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</si>
  <si>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</si>
  <si>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</si>
  <si>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</si>
  <si>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</si>
  <si>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</si>
  <si>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</si>
  <si>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</si>
  <si>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</si>
  <si>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</si>
  <si>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</si>
  <si>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</si>
  <si>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</si>
  <si>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</si>
  <si>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</si>
  <si>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</si>
  <si>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</si>
  <si>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</si>
  <si>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</si>
  <si>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</si>
  <si>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</si>
  <si>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</si>
  <si>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</si>
  <si>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</si>
  <si>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</si>
  <si>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</si>
  <si>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</si>
  <si>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</si>
  <si>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</si>
  <si>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</si>
  <si>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</si>
  <si>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</si>
  <si>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</si>
  <si>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</si>
  <si>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</si>
  <si>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</si>
  <si>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</si>
  <si>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</si>
  <si>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</si>
  <si>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</si>
  <si>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</si>
  <si>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</si>
  <si>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</si>
  <si>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</si>
  <si>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</si>
  <si>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</si>
  <si>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</si>
  <si>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</si>
  <si>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</si>
  <si>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</si>
  <si>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</si>
  <si>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</si>
  <si>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</si>
  <si>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</si>
  <si>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</si>
  <si>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</si>
  <si>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</si>
  <si>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</si>
  <si>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</si>
  <si>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</si>
  <si>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</si>
  <si>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</si>
  <si>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</si>
  <si>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</si>
  <si>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</si>
  <si>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</si>
  <si>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</si>
  <si>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</si>
  <si>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</si>
  <si>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</si>
  <si>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</si>
  <si>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</si>
  <si>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</si>
  <si>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</si>
  <si>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</si>
  <si>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</si>
  <si>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</si>
  <si>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</si>
  <si>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</si>
  <si>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</si>
  <si>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</si>
  <si>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</si>
  <si>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</si>
  <si>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</si>
  <si>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</si>
  <si>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</si>
  <si>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</si>
  <si>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</si>
  <si>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</si>
  <si>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</si>
  <si>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</si>
  <si>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</si>
  <si>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</si>
  <si>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</si>
  <si>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</si>
  <si>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</si>
  <si>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</si>
  <si>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</si>
  <si>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</si>
  <si>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</si>
  <si>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</si>
  <si>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</si>
  <si>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</si>
  <si>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</si>
  <si>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</si>
  <si>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</si>
  <si>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</si>
  <si>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</si>
  <si>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</si>
  <si>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</si>
  <si>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</si>
  <si>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</si>
  <si>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</si>
  <si>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</si>
  <si>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</si>
  <si>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</si>
  <si>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</si>
  <si>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</si>
  <si>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</si>
  <si>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</si>
  <si>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</si>
  <si>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</si>
  <si>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</si>
  <si>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</si>
  <si>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</si>
  <si>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</si>
  <si>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</si>
  <si>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</si>
  <si>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</si>
  <si>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</si>
  <si>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</si>
  <si>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</si>
  <si>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</si>
  <si>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</si>
  <si>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</si>
  <si>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</si>
  <si>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</si>
  <si>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</si>
  <si>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</si>
  <si>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</si>
  <si>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</si>
  <si>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</si>
  <si>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</si>
  <si>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</si>
  <si>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</si>
  <si>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</si>
  <si>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</si>
  <si>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</si>
  <si>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</si>
  <si>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</si>
  <si>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</si>
  <si>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</si>
  <si>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</si>
  <si>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</si>
  <si>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</si>
  <si>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</si>
  <si>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</si>
  <si>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</si>
  <si>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</si>
  <si>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</si>
  <si>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</si>
  <si>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</si>
  <si>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</si>
  <si>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</si>
  <si>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</si>
  <si>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</si>
  <si>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</si>
  <si>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</si>
  <si>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</si>
  <si>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</si>
  <si>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</si>
  <si>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</si>
  <si>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</si>
  <si>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</si>
  <si>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</si>
  <si>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</si>
  <si>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</si>
  <si>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</si>
  <si>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</si>
  <si>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</si>
  <si>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</si>
  <si>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</si>
  <si>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</si>
  <si>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</si>
  <si>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</si>
  <si>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</si>
  <si>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</si>
  <si>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</si>
  <si>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</si>
  <si>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</si>
  <si>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</si>
  <si>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</si>
  <si>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</si>
  <si>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</si>
  <si>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</si>
  <si>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</si>
  <si>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</si>
  <si>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</si>
  <si>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</si>
  <si>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</si>
  <si>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</si>
  <si>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</si>
  <si>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</si>
  <si>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</si>
  <si>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</si>
  <si>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</si>
  <si>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</si>
  <si>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</si>
  <si>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</si>
  <si>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</si>
  <si>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</si>
  <si>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</si>
  <si>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</si>
  <si>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</si>
  <si>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</si>
  <si>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</si>
  <si>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</si>
  <si>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</si>
  <si>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</si>
  <si>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</si>
  <si>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</si>
  <si>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</si>
  <si>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</si>
  <si>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</si>
  <si>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</si>
  <si>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</si>
  <si>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</si>
  <si>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</si>
  <si>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</si>
  <si>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</si>
  <si>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</si>
  <si>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</si>
  <si>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</si>
  <si>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</si>
  <si>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</si>
  <si>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</si>
  <si>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</si>
  <si>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</si>
  <si>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</si>
  <si>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</si>
  <si>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</si>
  <si>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</si>
  <si>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</si>
  <si>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</si>
  <si>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</si>
  <si>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</si>
  <si>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</si>
  <si>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</si>
  <si>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</si>
  <si>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</si>
  <si>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</si>
  <si>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</si>
  <si>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</si>
  <si>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</si>
  <si>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</si>
  <si>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</si>
  <si>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</si>
  <si>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</si>
  <si>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</si>
  <si>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</si>
  <si>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</si>
  <si>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</si>
  <si>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</si>
  <si>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</si>
  <si>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</si>
  <si>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</si>
  <si>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</si>
  <si>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</si>
  <si>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</si>
  <si>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</si>
  <si>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</si>
  <si>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</si>
  <si>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</si>
  <si>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</si>
  <si>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</si>
  <si>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</si>
  <si>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</si>
  <si>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</si>
  <si>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</si>
  <si>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</si>
  <si>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</si>
  <si>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</si>
  <si>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</si>
  <si>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</si>
  <si>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</si>
  <si>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</si>
  <si>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</si>
  <si>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</si>
  <si>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</si>
  <si>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</si>
  <si>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</si>
  <si>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</si>
  <si>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</si>
  <si>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</si>
  <si>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</si>
  <si>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</si>
  <si>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</si>
  <si>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</si>
  <si>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</si>
  <si>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</si>
  <si>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</si>
  <si>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</si>
  <si>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</si>
  <si>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</si>
  <si>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</si>
  <si>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</si>
  <si>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</si>
  <si>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</si>
  <si>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</si>
  <si>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</si>
  <si>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</si>
  <si>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</si>
  <si>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</si>
  <si>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</si>
  <si>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</si>
  <si>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</si>
  <si>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</si>
  <si>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</si>
  <si>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</si>
  <si>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</si>
  <si>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</si>
  <si>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</si>
  <si>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</si>
  <si>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</si>
  <si>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</si>
  <si>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</si>
  <si>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</si>
  <si>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</si>
  <si>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</si>
  <si>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</si>
  <si>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</si>
  <si>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</si>
  <si>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</si>
  <si>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</si>
  <si>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</si>
  <si>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</si>
  <si>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</si>
  <si>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</si>
  <si>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</si>
  <si>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</si>
  <si>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</si>
  <si>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</si>
  <si>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</si>
  <si>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</si>
  <si>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</si>
  <si>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</si>
  <si>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</si>
  <si>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</si>
  <si>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</si>
  <si>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</si>
  <si>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</si>
  <si>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</si>
  <si>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</si>
  <si>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</si>
  <si>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</si>
  <si>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</si>
  <si>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</si>
  <si>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</si>
  <si>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</si>
  <si>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</si>
  <si>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</si>
  <si>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</si>
  <si>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</si>
  <si>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</si>
  <si>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</si>
  <si>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</si>
  <si>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</si>
  <si>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</si>
  <si>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</si>
  <si>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</si>
  <si>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</si>
  <si>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</si>
  <si>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</si>
  <si>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</si>
  <si>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</si>
  <si>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</si>
  <si>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</si>
  <si>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</si>
  <si>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</si>
  <si>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</si>
  <si>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</si>
  <si>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</si>
  <si>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</si>
  <si>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</si>
  <si>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</si>
  <si>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</si>
  <si>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</si>
  <si>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</si>
  <si>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</si>
  <si>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</si>
  <si>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</si>
  <si>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</si>
  <si>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</si>
  <si>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</si>
  <si>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</si>
  <si>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</si>
  <si>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</si>
  <si>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</si>
  <si>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</si>
  <si>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</si>
  <si>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</si>
  <si>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</si>
  <si>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</si>
  <si>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</si>
  <si>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</si>
  <si>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</si>
  <si>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</si>
  <si>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</si>
  <si>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</si>
  <si>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</si>
  <si>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</si>
  <si>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</si>
  <si>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</si>
  <si>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</si>
  <si>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</si>
  <si>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</si>
  <si>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</si>
  <si>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</si>
  <si>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</si>
  <si>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</si>
  <si>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</si>
  <si>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</si>
  <si>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</si>
  <si>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</si>
  <si>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</si>
  <si>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</si>
  <si>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</si>
  <si>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</si>
  <si>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</si>
  <si>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</si>
  <si>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</si>
  <si>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</si>
  <si>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</si>
  <si>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</si>
  <si>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</si>
  <si>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</si>
  <si>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</si>
  <si>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</si>
  <si>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</si>
  <si>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</si>
  <si>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</si>
  <si>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</si>
  <si>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</si>
  <si>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</si>
  <si>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</si>
  <si>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</si>
  <si>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</si>
  <si>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</si>
  <si>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</si>
  <si>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</si>
  <si>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</si>
  <si>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</si>
  <si>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</si>
  <si>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</si>
  <si>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</si>
  <si>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</si>
  <si>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</si>
  <si>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</si>
  <si>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</si>
  <si>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</si>
  <si>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</si>
  <si>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</si>
  <si>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</si>
  <si>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</si>
  <si>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</si>
  <si>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</si>
  <si>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</si>
  <si>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</si>
  <si>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</si>
  <si>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</si>
  <si>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</si>
  <si>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</si>
  <si>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</si>
  <si>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</si>
  <si>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</si>
  <si>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</si>
  <si>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</si>
  <si>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</si>
  <si>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</si>
  <si>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</si>
  <si>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</si>
  <si>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</si>
  <si>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</si>
  <si>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</si>
  <si>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</si>
  <si>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</si>
  <si>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</si>
  <si>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</si>
  <si>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</si>
  <si>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</si>
  <si>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</si>
  <si>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</si>
  <si>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</si>
  <si>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</si>
  <si>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</si>
  <si>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</si>
  <si>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</si>
  <si>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</si>
  <si>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</si>
  <si>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</si>
  <si>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</si>
  <si>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</si>
  <si>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</si>
  <si>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</si>
  <si>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</si>
  <si>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</si>
  <si>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</si>
  <si>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</si>
  <si>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</si>
  <si>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</si>
  <si>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</si>
  <si>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</si>
  <si>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</si>
  <si>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</si>
  <si>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</si>
  <si>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</si>
  <si>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</si>
  <si>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</si>
  <si>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</si>
  <si>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</si>
  <si>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</si>
  <si>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</si>
  <si>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</si>
  <si>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</si>
  <si>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</si>
  <si>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</si>
  <si>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</si>
  <si>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</si>
  <si>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</si>
  <si>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</si>
  <si>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</si>
  <si>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</si>
  <si>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</si>
  <si>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</si>
  <si>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</si>
  <si>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</si>
  <si>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</si>
  <si>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</si>
  <si>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</si>
  <si>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</si>
  <si>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</si>
  <si>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</si>
  <si>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</si>
  <si>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</si>
  <si>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</si>
  <si>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</si>
  <si>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</si>
  <si>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</si>
  <si>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</si>
  <si>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</si>
  <si>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</si>
  <si>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</si>
  <si>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</si>
  <si>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</si>
  <si>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</si>
  <si>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</si>
  <si>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</si>
  <si>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</si>
  <si>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</si>
  <si>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</si>
  <si>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</si>
  <si>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</si>
  <si>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</si>
  <si>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</si>
  <si>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</si>
  <si>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</si>
  <si>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</si>
  <si>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</si>
  <si>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</si>
  <si>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</si>
  <si>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</si>
  <si>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</si>
  <si>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</si>
  <si>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</si>
  <si>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</si>
  <si>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</si>
  <si>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</si>
  <si>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</si>
  <si>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</si>
  <si>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</si>
  <si>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</si>
  <si>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</si>
  <si>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</si>
  <si>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</si>
  <si>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</si>
  <si>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</si>
  <si>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</si>
  <si>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</si>
  <si>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</si>
  <si>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</si>
  <si>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</si>
  <si>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</si>
  <si>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</si>
  <si>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</si>
  <si>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</si>
  <si>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</si>
  <si>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</si>
  <si>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</si>
  <si>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</si>
  <si>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</si>
  <si>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</si>
  <si>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</si>
  <si>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</si>
  <si>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</si>
  <si>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</si>
  <si>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</si>
  <si>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</si>
  <si>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</si>
  <si>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</si>
  <si>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</si>
  <si>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</si>
  <si>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</si>
  <si>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</si>
  <si>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</si>
  <si>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</si>
  <si>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</si>
  <si>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</si>
  <si>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</si>
  <si>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</si>
  <si>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</si>
  <si>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</si>
  <si>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</si>
  <si>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</si>
  <si>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</si>
  <si>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</si>
  <si>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</si>
  <si>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</si>
  <si>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</si>
  <si>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</si>
  <si>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</si>
  <si>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</si>
  <si>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</si>
  <si>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</si>
  <si>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</si>
  <si>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</si>
  <si>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</si>
  <si>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</si>
  <si>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</si>
  <si>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</si>
  <si>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</si>
  <si>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</si>
  <si>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</si>
  <si>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</si>
  <si>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</si>
  <si>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</si>
  <si>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</si>
  <si>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</si>
  <si>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</si>
  <si>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</si>
  <si>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</si>
  <si>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</si>
  <si>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</si>
  <si>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</si>
  <si>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</si>
  <si>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</si>
  <si>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</si>
  <si>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</si>
  <si>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</si>
  <si>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</si>
  <si>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</si>
  <si>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</si>
  <si>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</si>
  <si>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</si>
  <si>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</si>
  <si>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</si>
  <si>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</si>
  <si>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</si>
  <si>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</si>
  <si>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</si>
  <si>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</si>
  <si>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</si>
  <si>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</si>
  <si>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</si>
  <si>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</si>
  <si>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</si>
  <si>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</si>
  <si>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</si>
  <si>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</si>
  <si>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</si>
  <si>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</si>
  <si>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</si>
  <si>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</si>
  <si>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</si>
  <si>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</si>
  <si>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</si>
  <si>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</si>
  <si>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</si>
  <si>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</si>
  <si>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</si>
  <si>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</si>
  <si>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</si>
  <si>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</si>
  <si>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</si>
  <si>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</si>
  <si>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</si>
  <si>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</si>
  <si>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</si>
  <si>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</si>
  <si>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</si>
  <si>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</si>
  <si>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</si>
  <si>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</si>
  <si>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</si>
  <si>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</si>
  <si>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</si>
  <si>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</si>
  <si>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</si>
  <si>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</si>
  <si>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</si>
  <si>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</si>
  <si>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</si>
  <si>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</si>
  <si>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</si>
  <si>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</si>
  <si>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</si>
  <si>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</si>
  <si>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</si>
  <si>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</si>
  <si>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</si>
  <si>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</si>
  <si>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</si>
  <si>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</si>
  <si>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</si>
  <si>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</si>
  <si>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</si>
  <si>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</si>
  <si>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</si>
  <si>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</si>
  <si>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</si>
  <si>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</si>
  <si>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</si>
  <si>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</si>
  <si>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</si>
  <si>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</si>
  <si>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</si>
  <si>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</si>
  <si>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</si>
  <si>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</si>
  <si>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</si>
  <si>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</si>
  <si>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</si>
  <si>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</si>
  <si>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</si>
  <si>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</si>
  <si>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</si>
  <si>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</si>
  <si>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</si>
  <si>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</si>
  <si>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</si>
  <si>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</si>
  <si>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</si>
  <si>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</si>
  <si>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</si>
  <si>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</si>
  <si>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</si>
  <si>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</si>
  <si>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</si>
  <si>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</si>
  <si>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</si>
  <si>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</si>
  <si>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</si>
  <si>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</si>
  <si>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</si>
  <si>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</si>
  <si>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</si>
  <si>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</si>
  <si>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</si>
  <si>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</si>
  <si>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</si>
  <si>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</si>
  <si>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</si>
  <si>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</si>
  <si>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</si>
  <si>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</si>
  <si>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</si>
  <si>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</si>
  <si>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</si>
  <si>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</si>
  <si>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</si>
  <si>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</si>
  <si>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</si>
  <si>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</si>
  <si>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</si>
  <si>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</si>
  <si>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</si>
  <si>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</si>
  <si>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</si>
  <si>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</si>
  <si>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</si>
  <si>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</si>
  <si>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</si>
  <si>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</si>
  <si>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</si>
  <si>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</si>
  <si>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</si>
  <si>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</si>
  <si>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</si>
  <si>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</si>
  <si>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</si>
  <si>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</si>
  <si>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</si>
  <si>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</si>
  <si>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</si>
  <si>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</si>
  <si>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</si>
  <si>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</si>
  <si>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</si>
  <si>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</si>
  <si>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</si>
  <si>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</si>
  <si>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</si>
  <si>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</si>
  <si>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</si>
  <si>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</si>
  <si>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</si>
  <si>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</si>
  <si>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</si>
  <si>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</si>
  <si>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</si>
  <si>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</si>
  <si>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</si>
  <si>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</si>
  <si>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</si>
  <si>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</si>
  <si>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</si>
  <si>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</si>
  <si>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</si>
  <si>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</si>
  <si>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</si>
  <si>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</si>
  <si>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</si>
  <si>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</si>
  <si>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</si>
  <si>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</si>
  <si>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</si>
  <si>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</si>
  <si>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</si>
  <si>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</si>
  <si>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</si>
  <si>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</si>
  <si>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</si>
  <si>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</si>
  <si>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</si>
  <si>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</si>
  <si>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</si>
  <si>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</si>
  <si>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</si>
  <si>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</si>
  <si>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</si>
  <si>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</si>
  <si>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</si>
  <si>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</si>
  <si>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</si>
  <si>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</si>
  <si>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</si>
  <si>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</si>
  <si>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</si>
  <si>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</si>
  <si>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</si>
  <si>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</si>
  <si>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</si>
  <si>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</si>
  <si>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</si>
  <si>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</si>
  <si>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</si>
  <si>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</si>
  <si>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</si>
  <si>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</si>
  <si>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</si>
  <si>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</si>
  <si>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</si>
  <si>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</si>
  <si>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</si>
  <si>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</si>
  <si>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</si>
  <si>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</si>
  <si>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</si>
  <si>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</si>
  <si>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</si>
  <si>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</si>
  <si>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</si>
  <si>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</si>
  <si>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</si>
  <si>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</si>
  <si>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</si>
  <si>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</si>
  <si>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</si>
  <si>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</si>
  <si>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</si>
  <si>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</si>
  <si>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</si>
  <si>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</si>
  <si>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</si>
  <si>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</si>
  <si>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</si>
  <si>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</si>
  <si>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</si>
  <si>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</si>
  <si>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</si>
  <si>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</si>
  <si>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</si>
  <si>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</si>
  <si>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</si>
  <si>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</si>
  <si>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</si>
  <si>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</si>
  <si>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</si>
  <si>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</si>
  <si>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</si>
  <si>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</si>
  <si>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</si>
  <si>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</si>
  <si>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</si>
  <si>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</si>
  <si>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</si>
  <si>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</si>
  <si>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</si>
  <si>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</si>
  <si>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</si>
  <si>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</si>
  <si>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</si>
  <si>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</si>
  <si>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</si>
  <si>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</si>
  <si>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</si>
  <si>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</si>
  <si>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</si>
  <si>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</si>
  <si>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</si>
  <si>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</si>
  <si>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</si>
  <si>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</si>
  <si>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</si>
  <si>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</si>
  <si>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</si>
  <si>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</si>
  <si>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</si>
  <si>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</si>
  <si>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</si>
  <si>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</si>
  <si>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</si>
  <si>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</si>
  <si>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</si>
  <si>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</si>
  <si>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</si>
  <si>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</si>
  <si>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</si>
  <si>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</si>
  <si>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</si>
  <si>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</si>
  <si>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</si>
  <si>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</si>
  <si>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</si>
  <si>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</si>
  <si>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</si>
  <si>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</si>
  <si>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</si>
  <si>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</si>
  <si>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</si>
  <si>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</si>
  <si>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</si>
  <si>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</si>
  <si>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</si>
  <si>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</si>
  <si>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</si>
  <si>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</si>
  <si>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</si>
  <si>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</si>
  <si>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</si>
  <si>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</si>
  <si>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</si>
  <si>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</si>
  <si>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</si>
  <si>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</si>
  <si>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</si>
  <si>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</si>
  <si>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</si>
  <si>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</si>
  <si>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</si>
  <si>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</si>
  <si>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</si>
  <si>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</si>
  <si>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</si>
  <si>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</si>
  <si>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</si>
  <si>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</si>
  <si>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</si>
  <si>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</si>
  <si>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</si>
  <si>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</si>
  <si>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</si>
  <si>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</si>
  <si>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</si>
  <si>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</si>
  <si>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</si>
  <si>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</si>
  <si>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</si>
  <si>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</si>
  <si>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</si>
  <si>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</si>
  <si>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</si>
  <si>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</si>
  <si>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</si>
  <si>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</si>
  <si>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</si>
  <si>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</si>
  <si>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</si>
  <si>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</si>
  <si>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</si>
  <si>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</si>
  <si>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</si>
  <si>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</si>
  <si>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</si>
  <si>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</si>
  <si>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</si>
  <si>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</si>
  <si>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</si>
  <si>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</si>
  <si>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</si>
  <si>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</si>
  <si>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</si>
  <si>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</si>
  <si>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</si>
  <si>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</si>
  <si>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</si>
  <si>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</si>
  <si>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</si>
  <si>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</si>
  <si>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</si>
  <si>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</si>
  <si>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</si>
  <si>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</si>
  <si>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</si>
  <si>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</si>
  <si>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</si>
  <si>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</si>
  <si>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</si>
  <si>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</si>
  <si>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</si>
  <si>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</si>
  <si>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</si>
  <si>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</si>
  <si>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</si>
  <si>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</si>
  <si>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</si>
  <si>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</si>
  <si>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</si>
  <si>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</si>
  <si>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</si>
  <si>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</si>
  <si>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</si>
  <si>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</si>
  <si>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</si>
  <si>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</si>
  <si>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</si>
  <si>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</si>
  <si>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</si>
  <si>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</si>
  <si>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</si>
  <si>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</si>
  <si>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</si>
  <si>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</si>
  <si>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</si>
  <si>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</si>
  <si>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</si>
  <si>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</si>
  <si>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</si>
  <si>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</si>
  <si>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</si>
  <si>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</si>
  <si>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</si>
  <si>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</si>
  <si>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</si>
  <si>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</si>
  <si>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</si>
  <si>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</si>
  <si>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</si>
  <si>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</si>
  <si>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</si>
  <si>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</si>
  <si>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</si>
  <si>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</si>
  <si>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</si>
  <si>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</si>
  <si>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</si>
  <si>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</si>
  <si>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</si>
  <si>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</si>
  <si>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</si>
  <si>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</si>
  <si>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</si>
  <si>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</si>
  <si>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</si>
  <si>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</si>
  <si>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</si>
  <si>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</si>
  <si>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</si>
  <si>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</si>
  <si>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</si>
  <si>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</si>
  <si>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</si>
  <si>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</si>
  <si>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</si>
  <si>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</si>
  <si>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</si>
  <si>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</si>
  <si>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</si>
  <si>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</si>
  <si>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</si>
  <si>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</si>
  <si>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</si>
  <si>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</si>
  <si>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</si>
  <si>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</si>
  <si>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</si>
  <si>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</si>
  <si>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</si>
  <si>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</si>
  <si>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</si>
  <si>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</si>
  <si>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</si>
  <si>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</si>
  <si>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</si>
  <si>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</si>
  <si>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</si>
  <si>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</si>
  <si>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</si>
  <si>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</si>
  <si>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</si>
  <si>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</si>
  <si>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</si>
  <si>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</si>
  <si>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</si>
  <si>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</si>
  <si>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</si>
  <si>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</si>
  <si>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</si>
  <si>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</si>
  <si>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</si>
  <si>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</si>
  <si>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</si>
  <si>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</si>
  <si>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</si>
  <si>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</si>
  <si>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</si>
  <si>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</si>
  <si>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</si>
  <si>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</si>
  <si>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</si>
  <si>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</si>
  <si>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</si>
  <si>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</si>
  <si>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</si>
  <si>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</si>
  <si>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</si>
  <si>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</si>
  <si>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</si>
  <si>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</si>
  <si>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</si>
  <si>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</si>
  <si>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</si>
  <si>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</si>
  <si>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</si>
  <si>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</si>
  <si>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</si>
  <si>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</si>
  <si>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</si>
  <si>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</si>
  <si>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</si>
  <si>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</si>
  <si>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</si>
  <si>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</si>
  <si>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</si>
  <si>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</si>
  <si>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</si>
  <si>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</si>
  <si>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</si>
  <si>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</si>
  <si>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</si>
  <si>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</si>
  <si>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</si>
  <si>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</si>
  <si>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</si>
  <si>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</si>
  <si>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</si>
  <si>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</si>
  <si>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</si>
  <si>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</si>
  <si>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</si>
  <si>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</si>
  <si>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</si>
  <si>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</si>
  <si>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</si>
  <si>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</si>
  <si>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</si>
  <si>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</si>
  <si>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</si>
  <si>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</si>
  <si>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</si>
  <si>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</si>
  <si>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</si>
  <si>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</si>
  <si>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</si>
  <si>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</si>
  <si>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</si>
  <si>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</si>
  <si>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</si>
  <si>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</si>
  <si>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</si>
  <si>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</si>
  <si>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</si>
  <si>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</si>
  <si>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</si>
  <si>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</si>
  <si>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</si>
  <si>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</si>
  <si>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</si>
  <si>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</si>
  <si>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</si>
  <si>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</si>
  <si>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</si>
  <si>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</si>
  <si>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</si>
  <si>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</si>
  <si>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</si>
  <si>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</si>
  <si>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</si>
  <si>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</si>
  <si>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</si>
  <si>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</si>
  <si>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</si>
  <si>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</si>
  <si>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</si>
  <si>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</si>
  <si>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</si>
  <si>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</si>
  <si>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</si>
  <si>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</si>
  <si>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</si>
  <si>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</si>
  <si>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</si>
  <si>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</si>
  <si>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</si>
  <si>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</si>
  <si>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</si>
  <si>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</si>
  <si>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</si>
  <si>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</si>
  <si>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</si>
  <si>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</si>
  <si>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</si>
  <si>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</si>
  <si>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</si>
  <si>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</si>
  <si>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</si>
  <si>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</si>
  <si>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</si>
  <si>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</si>
  <si>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</si>
  <si>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</si>
  <si>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</si>
  <si>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</si>
  <si>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</si>
  <si>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</si>
  <si>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</si>
  <si>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</si>
  <si>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</si>
  <si>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</si>
  <si>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</si>
  <si>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</si>
  <si>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</si>
  <si>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</si>
  <si>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</si>
  <si>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</si>
  <si>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</si>
  <si>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</si>
  <si>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</si>
  <si>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</si>
  <si>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</si>
  <si>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</si>
  <si>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</si>
  <si>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</si>
  <si>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</si>
  <si>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</si>
  <si>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</si>
  <si>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</si>
  <si>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</si>
  <si>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</si>
  <si>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</si>
  <si>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</si>
  <si>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</si>
  <si>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</si>
  <si>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</si>
  <si>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</si>
  <si>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</si>
  <si>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</si>
  <si>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</si>
  <si>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</si>
  <si>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</si>
  <si>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</si>
  <si>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</si>
  <si>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</si>
  <si>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</si>
  <si>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</si>
  <si>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</si>
  <si>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</si>
  <si>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</si>
  <si>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</si>
  <si>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</si>
  <si>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</si>
  <si>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</si>
  <si>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</si>
  <si>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</si>
  <si>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</si>
  <si>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</si>
  <si>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</si>
  <si>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</si>
  <si>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</si>
  <si>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</si>
  <si>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</si>
  <si>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</si>
  <si>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</si>
  <si>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</si>
  <si>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</si>
  <si>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</si>
  <si>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</si>
  <si>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</si>
  <si>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</si>
  <si>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</si>
  <si>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</si>
  <si>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</si>
  <si>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</si>
  <si>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</si>
  <si>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</si>
  <si>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</si>
  <si>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</si>
  <si>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</si>
  <si>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</si>
  <si>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</si>
  <si>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</si>
  <si>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</si>
  <si>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</si>
  <si>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</si>
  <si>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</si>
  <si>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</si>
  <si>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</si>
  <si>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</si>
  <si>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</si>
  <si>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</si>
  <si>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</si>
  <si>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</si>
  <si>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</si>
  <si>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</si>
  <si>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</si>
  <si>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</si>
  <si>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</si>
  <si>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</si>
  <si>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</si>
  <si>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</si>
  <si>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</si>
  <si>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</si>
  <si>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</si>
  <si>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</si>
  <si>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</si>
  <si>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</si>
  <si>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</si>
  <si>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</si>
  <si>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</si>
  <si>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</si>
  <si>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</si>
  <si>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</si>
  <si>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</si>
  <si>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</si>
  <si>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</si>
  <si>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</si>
  <si>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</si>
  <si>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</si>
  <si>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</si>
  <si>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</si>
  <si>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</si>
  <si>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</si>
  <si>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</si>
  <si>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</si>
  <si>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</si>
  <si>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</si>
  <si>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</si>
  <si>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</si>
  <si>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</si>
  <si>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</si>
  <si>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</si>
  <si>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</si>
  <si>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</si>
  <si>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</si>
  <si>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</si>
  <si>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</si>
  <si>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</si>
  <si>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</si>
  <si>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</si>
  <si>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</si>
  <si>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</si>
  <si>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</si>
  <si>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</si>
  <si>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</si>
  <si>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</si>
  <si>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</si>
  <si>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</si>
  <si>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</si>
  <si>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</si>
  <si>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</si>
  <si>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</si>
  <si>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</si>
  <si>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</si>
  <si>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</si>
  <si>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</si>
  <si>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</si>
  <si>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</si>
  <si>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</si>
  <si>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</si>
  <si>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</si>
  <si>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</si>
  <si>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</si>
  <si>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</si>
  <si>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</si>
  <si>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</si>
  <si>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</si>
  <si>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</si>
  <si>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</si>
  <si>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</si>
  <si>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2021-4</t>
    <phoneticPr fontId="141" type="noConversion"/>
  </si>
  <si>
    <t>抵押</t>
  </si>
  <si>
    <t>房地产抵押价值</t>
  </si>
  <si>
    <t>北京市</t>
  </si>
  <si>
    <t>企业</t>
  </si>
  <si>
    <t>出让</t>
  </si>
  <si>
    <t>Ⅶ-门1</t>
  </si>
  <si>
    <t>建筑面积</t>
    <phoneticPr fontId="141" type="noConversion"/>
  </si>
  <si>
    <t>人防</t>
    <phoneticPr fontId="141" type="noConversion"/>
  </si>
  <si>
    <t>负3层</t>
    <phoneticPr fontId="141" type="noConversion"/>
  </si>
  <si>
    <t>负2层</t>
    <phoneticPr fontId="141" type="noConversion"/>
  </si>
  <si>
    <t>负1层夹层</t>
    <phoneticPr fontId="141" type="noConversion"/>
  </si>
  <si>
    <t>负1层</t>
    <phoneticPr fontId="141" type="noConversion"/>
  </si>
  <si>
    <t>附属用房1</t>
    <phoneticPr fontId="141" type="noConversion"/>
  </si>
  <si>
    <t>附属用房2</t>
    <phoneticPr fontId="141" type="noConversion"/>
  </si>
  <si>
    <t>地上办公</t>
    <phoneticPr fontId="141" type="noConversion"/>
  </si>
  <si>
    <t>地上设备</t>
    <phoneticPr fontId="141" type="noConversion"/>
  </si>
  <si>
    <t>地下车库</t>
    <phoneticPr fontId="141" type="noConversion"/>
  </si>
  <si>
    <t>地下设备</t>
    <phoneticPr fontId="141" type="noConversion"/>
  </si>
  <si>
    <t>是</t>
  </si>
  <si>
    <t>地上</t>
  </si>
  <si>
    <t>办公楼</t>
  </si>
  <si>
    <t>车库</t>
  </si>
  <si>
    <t>办公</t>
    <phoneticPr fontId="8" type="noConversion"/>
  </si>
  <si>
    <t>地下车库</t>
    <phoneticPr fontId="8" type="noConversion"/>
  </si>
  <si>
    <t>地下</t>
  </si>
  <si>
    <t>成新度</t>
  </si>
  <si>
    <t>总价</t>
  </si>
  <si>
    <t>成本比率</t>
  </si>
  <si>
    <t>成本法</t>
  </si>
  <si>
    <t>收益法（汇总）</t>
  </si>
  <si>
    <t>收益法</t>
  </si>
  <si>
    <t>按租金收入计税</t>
  </si>
  <si>
    <t>钢混</t>
  </si>
  <si>
    <t>非生产用房</t>
  </si>
  <si>
    <t>押一</t>
  </si>
  <si>
    <t>利息：取LPR加浮动点数</t>
  </si>
  <si>
    <t>收益法 (地下车库)</t>
  </si>
  <si>
    <t>收益法 (地下车库)</t>
    <phoneticPr fontId="17" type="noConversion"/>
  </si>
  <si>
    <t>已包含在土地取得成本中</t>
  </si>
  <si>
    <t>未包含在土地购买价格中</t>
  </si>
  <si>
    <t>全部缴纳</t>
  </si>
  <si>
    <t>科教用地</t>
  </si>
  <si>
    <t>不临58条商业街</t>
  </si>
  <si>
    <t>与级别开发程度不一致</t>
  </si>
  <si>
    <t>通路</t>
  </si>
  <si>
    <t>通电</t>
  </si>
  <si>
    <t>通讯</t>
  </si>
  <si>
    <t>通上水</t>
  </si>
  <si>
    <t>通下水</t>
  </si>
  <si>
    <t>通热</t>
  </si>
  <si>
    <t>平整</t>
  </si>
  <si>
    <t>地价指数</t>
  </si>
  <si>
    <t>容积率修正</t>
  </si>
  <si>
    <t>一般</t>
  </si>
  <si>
    <t>较好</t>
  </si>
  <si>
    <t>好</t>
  </si>
  <si>
    <t>自定义容积率</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</si>
  <si>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</si>
  <si>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</si>
  <si>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</si>
  <si>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</si>
  <si>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</si>
  <si>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</si>
  <si>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</si>
  <si>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</si>
  <si>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</si>
  <si>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</si>
  <si>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</si>
  <si>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</si>
  <si>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</si>
  <si>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</si>
  <si>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</si>
  <si>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</si>
  <si>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北京市怀柔科学城核心区及周边土地一级开发项目HR00-0211-6002、6009、6010、6011、6019地块(城市客厅A)F3其他类多功能用地</t>
  </si>
  <si>
    <t>商业/办公用地</t>
  </si>
  <si>
    <t>≤1.9</t>
  </si>
  <si>
    <t>挂牌</t>
  </si>
  <si>
    <t>F3其他类多功能用地</t>
  </si>
  <si>
    <t>2020-11-03</t>
  </si>
  <si>
    <t>北京怀柔科学城城开一部开发建设有限公司</t>
  </si>
  <si>
    <t>1星</t>
  </si>
  <si>
    <t>北京市怀柔区怀北镇雁柏山庄南侧地块B1商业用地</t>
  </si>
  <si>
    <t>≤0.16</t>
  </si>
  <si>
    <t>B1商业用地</t>
  </si>
  <si>
    <t>2020-10-12</t>
  </si>
  <si>
    <t>北京雁柏山庄有限责任公司</t>
  </si>
  <si>
    <t>2星</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</si>
  <si>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</si>
  <si>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</si>
  <si>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</si>
  <si>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</si>
  <si>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</si>
  <si>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</si>
  <si>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</si>
  <si>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4星</t>
  </si>
  <si>
    <t>北京市朝阳区望京花家地西里三组团配套综合楼1006-605地块B4商业金融用地</t>
  </si>
  <si>
    <t>≤3</t>
  </si>
  <si>
    <t>B4商业金融用地</t>
  </si>
  <si>
    <t>2020-04-02</t>
  </si>
  <si>
    <t>北京金隅嘉业房地产开发有限公司</t>
  </si>
  <si>
    <t>5星</t>
  </si>
  <si>
    <t>北京市昌平区朱辛庄新区(二期)土地一级开发项目ZXZ-010地块F3其他类多功能用地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</si>
  <si>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</si>
  <si>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</si>
  <si>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</si>
  <si>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</si>
  <si>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</si>
  <si>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</si>
  <si>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</si>
  <si>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</si>
  <si>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</si>
  <si>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</si>
  <si>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</si>
  <si>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</si>
  <si>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</si>
  <si>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</si>
  <si>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</si>
  <si>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</si>
  <si>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</si>
  <si>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</si>
  <si>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</si>
  <si>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</si>
  <si>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</si>
  <si>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</si>
  <si>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</si>
  <si>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</si>
  <si>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</si>
  <si>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</si>
  <si>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</si>
  <si>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</si>
  <si>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</si>
  <si>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</si>
  <si>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</si>
  <si>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</si>
  <si>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</si>
  <si>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</si>
  <si>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</si>
  <si>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</si>
  <si>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</si>
  <si>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</si>
  <si>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</si>
  <si>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</si>
  <si>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</si>
  <si>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</si>
  <si>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</si>
  <si>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</si>
  <si>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</si>
  <si>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</si>
  <si>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</si>
  <si>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</si>
  <si>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</si>
  <si>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</si>
  <si>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</si>
  <si>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</si>
  <si>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</si>
  <si>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</si>
  <si>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</si>
  <si>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</si>
  <si>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</si>
  <si>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</si>
  <si>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</si>
  <si>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</si>
  <si>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</si>
  <si>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</si>
  <si>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</si>
  <si>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</si>
  <si>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</si>
  <si>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</si>
  <si>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</si>
  <si>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</si>
  <si>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</si>
  <si>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</si>
  <si>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</si>
  <si>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</si>
  <si>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</si>
  <si>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</si>
  <si>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</si>
  <si>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</si>
  <si>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</si>
  <si>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石景山</t>
  </si>
  <si>
    <t>门头沟</t>
  </si>
  <si>
    <t>研发设计</t>
  </si>
  <si>
    <t>2018-3</t>
    <phoneticPr fontId="32" type="noConversion"/>
  </si>
  <si>
    <t>2018-2</t>
    <phoneticPr fontId="32" type="noConversion"/>
  </si>
  <si>
    <t>2018-1</t>
    <phoneticPr fontId="32" type="noConversion"/>
  </si>
  <si>
    <t>七通</t>
  </si>
  <si>
    <t>单面临街</t>
  </si>
  <si>
    <r>
      <t>B4</t>
    </r>
    <r>
      <rPr>
        <sz val="11"/>
        <rFont val="宋体"/>
        <family val="3"/>
        <charset val="134"/>
      </rPr>
      <t>商业</t>
    </r>
  </si>
  <si>
    <t>科研用地</t>
  </si>
  <si>
    <t>自持20年</t>
  </si>
  <si>
    <t>自持满年限</t>
  </si>
  <si>
    <t>自持</t>
    <phoneticPr fontId="32" type="noConversion"/>
  </si>
  <si>
    <t>快速路</t>
  </si>
  <si>
    <t>主干道</t>
  </si>
  <si>
    <t>次干道</t>
  </si>
  <si>
    <t>支路</t>
  </si>
  <si>
    <t>规则</t>
  </si>
  <si>
    <t>较规则</t>
  </si>
  <si>
    <t>较不规则</t>
  </si>
  <si>
    <t>不规则</t>
  </si>
  <si>
    <t>六通</t>
  </si>
  <si>
    <t>五通</t>
  </si>
  <si>
    <t>四通</t>
  </si>
  <si>
    <t>三通</t>
  </si>
  <si>
    <t>良好</t>
  </si>
  <si>
    <t>一般</t>
    <phoneticPr fontId="32" type="noConversion"/>
  </si>
  <si>
    <t>正常</t>
  </si>
  <si>
    <t>B4商业</t>
  </si>
  <si>
    <t>自持满年限</t>
    <phoneticPr fontId="32" type="noConversion"/>
  </si>
  <si>
    <r>
      <rPr>
        <sz val="11"/>
        <rFont val="宋体"/>
        <family val="3"/>
        <charset val="134"/>
      </rPr>
      <t>自持</t>
    </r>
    <r>
      <rPr>
        <sz val="11"/>
        <rFont val="Arial"/>
        <family val="2"/>
      </rPr>
      <t>20</t>
    </r>
    <r>
      <rPr>
        <sz val="11"/>
        <rFont val="宋体"/>
        <family val="3"/>
        <charset val="134"/>
      </rPr>
      <t>年</t>
    </r>
    <phoneticPr fontId="32" type="noConversion"/>
  </si>
  <si>
    <t>车库—办公</t>
  </si>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</sst>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cellStyleXfs>
  <cellXfs count="34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98" fillId="0" borderId="37"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9" fillId="0" borderId="0" xfId="10">
      <alignment vertical="center"/>
    </xf>
    <xf numFmtId="0" fontId="99" fillId="0" borderId="0" xfId="10" applyAlignment="1"/>
    <xf numFmtId="0" fontId="112" fillId="0" borderId="0" xfId="10" applyFont="1" applyAlignment="1">
      <alignment horizontal="center" vertical="center" wrapText="1"/>
    </xf>
    <xf numFmtId="0" fontId="112" fillId="9" borderId="0" xfId="10" applyFont="1" applyFill="1" applyAlignment="1">
      <alignment horizontal="center" vertical="center" wrapText="1"/>
    </xf>
    <xf numFmtId="0" fontId="99" fillId="0" borderId="1" xfId="10" applyBorder="1" applyAlignment="1">
      <alignment horizontal="center" vertical="center"/>
    </xf>
    <xf numFmtId="0" fontId="99" fillId="0" borderId="1" xfId="10" applyFont="1" applyBorder="1" applyAlignment="1">
      <alignment horizontal="center" vertical="center"/>
    </xf>
    <xf numFmtId="0" fontId="135" fillId="0" borderId="46" xfId="0" applyFont="1" applyFill="1" applyBorder="1" applyAlignment="1" applyProtection="1">
      <alignment horizontal="center" vertical="center" wrapText="1"/>
      <protection locked="0"/>
    </xf>
    <xf numFmtId="49" fontId="177" fillId="0" borderId="10" xfId="10" applyNumberFormat="1" applyFont="1" applyFill="1" applyBorder="1" applyAlignment="1" applyProtection="1">
      <alignment vertical="center" wrapText="1"/>
      <protection locked="0"/>
    </xf>
    <xf numFmtId="49" fontId="177" fillId="0" borderId="24" xfId="10" applyNumberFormat="1" applyFont="1" applyFill="1" applyBorder="1" applyAlignment="1" applyProtection="1">
      <alignment vertical="center" wrapText="1"/>
      <protection locked="0"/>
    </xf>
    <xf numFmtId="49" fontId="235" fillId="0" borderId="24" xfId="10" applyNumberFormat="1" applyFont="1" applyFill="1" applyBorder="1" applyAlignment="1" applyProtection="1">
      <alignment vertical="center" wrapText="1"/>
      <protection locked="0"/>
    </xf>
    <xf numFmtId="0" fontId="235" fillId="0" borderId="24" xfId="10" applyFont="1" applyBorder="1" applyAlignment="1" applyProtection="1">
      <alignment vertical="center" wrapText="1"/>
      <protection locked="0"/>
    </xf>
    <xf numFmtId="0" fontId="235" fillId="0" borderId="49" xfId="10" applyFont="1" applyBorder="1" applyAlignment="1" applyProtection="1">
      <alignment vertical="center"/>
      <protection locked="0"/>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54" fillId="0" borderId="1"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 9 2" xfId="17" xr:uid="{4D62424D-556F-4C6F-BE6E-A34A107F5A3F}"/>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估价对象为北京市房地产，为所有。根据《国有土地使用证》[]，估价对象（分摊）出让国有建设用地使用权面积为6294.36平方米，建筑面积为39707.96平方米。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估价对象为北京市房地产,属开发建设的，该项目尚在开发建设中。根据《国有土地使用证》[]，估价对象（分摊）出让国有建设用地使用权面积为6294.36平方米，规划建筑面积为39707.96平方米。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2021年11月15日（评估专业人员实地查勘之日）</v>
      </c>
    </row>
    <row r="13" spans="1:2" s="1364" customFormat="1">
      <c r="A13" s="1362" t="s">
        <v>1194</v>
      </c>
      <c r="B13" s="1363" t="str">
        <f>'预评函-1'!A18</f>
        <v>本次估价的“房地产价值”是指在正常市场情况下，在价值时点2021年11月15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68706</v>
      </c>
    </row>
    <row r="21" spans="1:2" s="1364" customFormat="1">
      <c r="A21" s="1362" t="s">
        <v>1202</v>
      </c>
      <c r="B21" s="1363">
        <f ca="1">'预评函-2'!D7</f>
        <v>17303</v>
      </c>
    </row>
    <row r="22" spans="1:2" s="1364" customFormat="1">
      <c r="A22" s="1362" t="s">
        <v>1203</v>
      </c>
      <c r="B22" s="1363" t="str">
        <f ca="1">'预评函-2'!D6</f>
        <v>陆亿捌仟柒佰零陆万元整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68706</v>
      </c>
    </row>
    <row r="31" spans="1:2" s="1364" customFormat="1">
      <c r="A31" s="1362" t="s">
        <v>1241</v>
      </c>
      <c r="B31" s="1363">
        <f ca="1">'预评函-2'!D15</f>
        <v>17303</v>
      </c>
    </row>
    <row r="32" spans="1:2" s="1364" customFormat="1">
      <c r="A32" s="1362" t="s">
        <v>1208</v>
      </c>
      <c r="B32" s="1363" t="str">
        <f ca="1">'预评函-2'!D14</f>
        <v>陆亿捌仟柒佰零陆万元整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39707.960000000006</v>
      </c>
    </row>
    <row r="44" spans="1:2" s="1364" customFormat="1">
      <c r="A44" s="1362" t="s">
        <v>1240</v>
      </c>
      <c r="B44" s="1363" t="str">
        <f>'预评函-3'!C2</f>
        <v>(分摊)土地面积</v>
      </c>
    </row>
    <row r="45" spans="1:2" s="1364" customFormat="1">
      <c r="A45" s="1362" t="s">
        <v>1212</v>
      </c>
      <c r="B45" s="1363">
        <f>'预评函-3'!C4</f>
        <v>6294.36</v>
      </c>
    </row>
    <row r="46" spans="1:2" s="1364" customFormat="1">
      <c r="A46" s="1362" t="s">
        <v>1238</v>
      </c>
      <c r="B46" s="1363" t="str">
        <f>'预评函-3'!D2</f>
        <v>出让国有建设用地使用权价值</v>
      </c>
    </row>
    <row r="47" spans="1:2" s="1364" customFormat="1">
      <c r="A47" s="1362" t="s">
        <v>1213</v>
      </c>
      <c r="B47" s="1363">
        <f ca="1">'预评函-3'!D4</f>
        <v>50155</v>
      </c>
    </row>
    <row r="48" spans="1:2" s="1364" customFormat="1">
      <c r="A48" s="1362" t="s">
        <v>1214</v>
      </c>
      <c r="B48" s="1363">
        <f ca="1">'预评函-3'!E4</f>
        <v>12631</v>
      </c>
    </row>
    <row r="49" spans="1:2" s="1364" customFormat="1">
      <c r="A49" s="1362" t="s">
        <v>1215</v>
      </c>
      <c r="B49" s="1363" t="str">
        <f ca="1">'预评函-3'!D5</f>
        <v>伍亿零壹佰伍拾伍万元整</v>
      </c>
    </row>
    <row r="50" spans="1:2" s="1364" customFormat="1">
      <c r="A50" s="1362" t="s">
        <v>1239</v>
      </c>
      <c r="B50" s="1363" t="str">
        <f>'预评函-3'!F2</f>
        <v>在建建筑物价值</v>
      </c>
    </row>
    <row r="51" spans="1:2" s="1364" customFormat="1">
      <c r="A51" s="1362" t="s">
        <v>1216</v>
      </c>
      <c r="B51" s="1363">
        <f ca="1">'预评函-3'!F4</f>
        <v>18551</v>
      </c>
    </row>
    <row r="52" spans="1:2" s="1364" customFormat="1">
      <c r="A52" s="1362" t="s">
        <v>1217</v>
      </c>
      <c r="B52" s="1363">
        <f ca="1">'预评函-3'!G4</f>
        <v>4672</v>
      </c>
    </row>
    <row r="53" spans="1:2" s="1364" customFormat="1">
      <c r="A53" s="1362" t="s">
        <v>1245</v>
      </c>
      <c r="B53" s="1363" t="str">
        <f ca="1">'预评函-3'!F5</f>
        <v>壹亿捌仟伍佰伍拾壹万元整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3034</v>
      </c>
      <c r="C17" s="1731"/>
    </row>
    <row r="18" spans="1:3">
      <c r="A18" s="1730" t="s">
        <v>1732</v>
      </c>
      <c r="B18" s="1730" t="s">
        <v>757</v>
      </c>
      <c r="C18" s="1731"/>
    </row>
    <row r="19" spans="1:3">
      <c r="A19" s="1730" t="s">
        <v>1733</v>
      </c>
      <c r="B19" s="1730" t="s">
        <v>3097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1738" t="s">
        <v>832</v>
      </c>
      <c r="C54" s="1735" t="s">
        <v>1248</v>
      </c>
    </row>
    <row r="55" spans="1:4">
      <c r="A55" s="3142"/>
      <c r="B55" s="1738" t="s">
        <v>833</v>
      </c>
      <c r="C55" s="1735" t="s">
        <v>1249</v>
      </c>
    </row>
    <row r="56" spans="1:4">
      <c r="A56" s="3142"/>
      <c r="B56" s="1738" t="s">
        <v>834</v>
      </c>
      <c r="C56" s="1735" t="s">
        <v>1253</v>
      </c>
    </row>
    <row r="57" spans="1:4">
      <c r="A57" s="314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7" sqref="G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1" customWidth="1"/>
    <col min="12" max="13" width="10" style="2852"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51" t="str">
        <f>IF(B10="北京市","北京市",C10)&amp;F10&amp;IF(结果表!G1="在建","出让国有建设用地使用权及在建建筑物",IF(结果表!G1="土地","出让国有建设用地使用权",))&amp;B9&amp;"预评估"</f>
        <v>北京市房地产抵押价值预评估</v>
      </c>
      <c r="C1" s="3152"/>
      <c r="D1" s="3152"/>
      <c r="E1" s="3152"/>
      <c r="F1" s="3152"/>
      <c r="G1" s="3152"/>
      <c r="H1" s="3152"/>
      <c r="I1" s="3153"/>
      <c r="J1" s="2694"/>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5"/>
      <c r="E2" s="2885"/>
      <c r="F2" s="2885"/>
      <c r="G2" s="2886"/>
      <c r="H2" s="2886"/>
      <c r="I2" s="2886"/>
      <c r="J2" s="2694"/>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2915</v>
      </c>
      <c r="B3" s="2596">
        <v>44515</v>
      </c>
      <c r="C3" s="2597" t="s">
        <v>2916</v>
      </c>
      <c r="D3" s="2596">
        <v>44515</v>
      </c>
      <c r="E3" s="2886"/>
      <c r="F3" s="2886"/>
      <c r="G3" s="2886"/>
      <c r="H3" s="2886"/>
      <c r="I3" s="2886"/>
      <c r="J3" s="2694"/>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87"/>
      <c r="F5" s="2887"/>
      <c r="G5" s="2887"/>
      <c r="H5" s="2887"/>
      <c r="I5" s="2887"/>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5"/>
      <c r="F6" s="2887"/>
      <c r="G6" s="2887"/>
      <c r="H6" s="2887"/>
      <c r="I6" s="2887"/>
      <c r="J6" s="2664"/>
      <c r="K6" s="2837" t="str">
        <f>IF(COUNTIF(B6,"*上海银行*"),"上海银行","")</f>
        <v/>
      </c>
      <c r="L6" s="2835"/>
      <c r="M6" s="2835"/>
      <c r="N6" s="2664"/>
      <c r="O6" s="2675"/>
      <c r="P6" s="2664"/>
      <c r="Q6" s="2664"/>
      <c r="R6" s="2664"/>
    </row>
    <row r="7" spans="1:28">
      <c r="A7" s="2606" t="s">
        <v>2920</v>
      </c>
      <c r="B7" s="2610"/>
      <c r="C7" s="2608"/>
      <c r="D7" s="2609"/>
      <c r="E7" s="2885"/>
      <c r="F7" s="2887"/>
      <c r="G7" s="2887"/>
      <c r="H7" s="2887"/>
      <c r="I7" s="2887"/>
      <c r="J7" s="2664"/>
      <c r="K7" s="2838"/>
      <c r="L7" s="2835"/>
      <c r="M7" s="2835"/>
      <c r="N7" s="2664"/>
      <c r="O7" s="2675"/>
      <c r="P7" s="2664"/>
      <c r="Q7" s="2664"/>
      <c r="R7" s="2664"/>
    </row>
    <row r="8" spans="1:28">
      <c r="A8" s="2611" t="s">
        <v>2921</v>
      </c>
      <c r="B8" s="2612" t="s">
        <v>3060</v>
      </c>
      <c r="C8" s="2613"/>
      <c r="D8" s="3154" t="s">
        <v>2922</v>
      </c>
      <c r="E8" s="2614" t="s">
        <v>3061</v>
      </c>
      <c r="F8" s="2615"/>
      <c r="G8" s="2886"/>
      <c r="H8" s="2886"/>
      <c r="I8" s="2886"/>
      <c r="J8" s="2664"/>
      <c r="K8" s="2836"/>
      <c r="L8" s="2835"/>
      <c r="M8" s="2835"/>
      <c r="N8" s="2664"/>
      <c r="O8" s="2675"/>
      <c r="P8" s="2664"/>
      <c r="Q8" s="2664"/>
      <c r="R8" s="2664"/>
    </row>
    <row r="9" spans="1:28" ht="13.5" thickBot="1">
      <c r="A9" s="2616" t="s">
        <v>2923</v>
      </c>
      <c r="B9" s="2617" t="s">
        <v>3061</v>
      </c>
      <c r="C9" s="2618"/>
      <c r="D9" s="3155"/>
      <c r="E9" s="2617" t="s">
        <v>70</v>
      </c>
      <c r="F9" s="2619"/>
      <c r="G9" s="2888"/>
      <c r="H9" s="2888"/>
      <c r="I9" s="2888"/>
      <c r="J9" s="2664"/>
      <c r="K9" s="2838"/>
      <c r="L9" s="2835"/>
      <c r="M9" s="2835"/>
      <c r="N9" s="2664"/>
      <c r="O9" s="2675"/>
      <c r="P9" s="2664"/>
      <c r="Q9" s="2664"/>
      <c r="R9" s="2664"/>
    </row>
    <row r="10" spans="1:28" ht="13.5" thickTop="1">
      <c r="A10" s="2620" t="s">
        <v>2924</v>
      </c>
      <c r="B10" s="2621" t="s">
        <v>3062</v>
      </c>
      <c r="C10" s="2622"/>
      <c r="D10" s="2605"/>
      <c r="E10" s="2623" t="s">
        <v>2925</v>
      </c>
      <c r="F10" s="2889"/>
      <c r="G10" s="2890"/>
      <c r="H10" s="2891"/>
      <c r="I10" s="2892"/>
      <c r="J10" s="2664"/>
      <c r="K10" s="2838"/>
      <c r="L10" s="2835"/>
      <c r="M10" s="2835"/>
      <c r="N10" s="2664"/>
      <c r="O10" s="2675"/>
      <c r="P10" s="2664"/>
      <c r="Q10" s="2664"/>
      <c r="R10" s="2664"/>
    </row>
    <row r="11" spans="1:28">
      <c r="A11" s="2624" t="s">
        <v>2926</v>
      </c>
      <c r="B11" s="2625" t="s">
        <v>3063</v>
      </c>
      <c r="C11" s="2626"/>
      <c r="D11" s="2627"/>
      <c r="E11" s="2593"/>
      <c r="F11" s="2593"/>
      <c r="G11" s="2593"/>
      <c r="H11" s="2593"/>
      <c r="I11" s="2593"/>
      <c r="J11" s="2664"/>
      <c r="K11" s="2838"/>
      <c r="L11" s="2835"/>
      <c r="M11" s="2835"/>
      <c r="N11" s="2664"/>
      <c r="O11" s="2675"/>
      <c r="P11" s="2664"/>
      <c r="Q11" s="2664"/>
      <c r="R11" s="2664"/>
    </row>
    <row r="12" spans="1:28">
      <c r="A12" s="2628" t="s">
        <v>2927</v>
      </c>
      <c r="B12" s="2625" t="s">
        <v>3064</v>
      </c>
      <c r="C12" s="329" t="s">
        <v>2928</v>
      </c>
      <c r="D12" s="2629" t="s">
        <v>2929</v>
      </c>
      <c r="E12" s="2629" t="s">
        <v>2930</v>
      </c>
      <c r="F12" s="2629" t="s">
        <v>2931</v>
      </c>
      <c r="G12" s="2629" t="s">
        <v>2932</v>
      </c>
      <c r="H12" s="2629" t="s">
        <v>2933</v>
      </c>
      <c r="I12" s="2629" t="s">
        <v>2934</v>
      </c>
      <c r="J12" s="2664"/>
      <c r="K12" s="2838"/>
      <c r="L12" s="2835"/>
      <c r="M12" s="2835"/>
      <c r="N12" s="2664"/>
      <c r="O12" s="2675"/>
      <c r="P12" s="2664"/>
      <c r="Q12" s="2664"/>
      <c r="R12" s="2664"/>
    </row>
    <row r="13" spans="1:28">
      <c r="A13" s="1241"/>
      <c r="B13" s="2630"/>
      <c r="C13" s="2631" t="s">
        <v>2935</v>
      </c>
      <c r="D13" s="965"/>
      <c r="E13" s="965"/>
      <c r="F13" s="965">
        <v>57017</v>
      </c>
      <c r="G13" s="965">
        <f>F13</f>
        <v>57017</v>
      </c>
      <c r="H13" s="965"/>
      <c r="I13" s="965"/>
      <c r="J13" s="2664"/>
      <c r="K13" s="2838"/>
      <c r="L13" s="2835"/>
      <c r="M13" s="2835"/>
      <c r="N13" s="2664"/>
      <c r="O13" s="2675"/>
      <c r="P13" s="2664"/>
      <c r="Q13" s="2664"/>
      <c r="R13" s="2664"/>
    </row>
    <row r="14" spans="1:28">
      <c r="A14" s="1241"/>
      <c r="B14" s="2630"/>
      <c r="C14" s="2631" t="s">
        <v>2936</v>
      </c>
      <c r="D14" s="2632"/>
      <c r="E14" s="2632"/>
      <c r="F14" s="2632">
        <v>50</v>
      </c>
      <c r="G14" s="2632">
        <v>50</v>
      </c>
      <c r="H14" s="2632"/>
      <c r="I14" s="2632"/>
      <c r="J14" s="2664"/>
      <c r="K14" s="2839"/>
      <c r="L14" s="2835"/>
      <c r="M14" s="2835"/>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34.25</v>
      </c>
      <c r="G15" s="2635">
        <f>IF(B12="出让",IF(G13="","",ROUNDDOWN(MIN((G13-$D$3)/365,G14),2)),G14)</f>
        <v>34.25</v>
      </c>
      <c r="H15" s="2635" t="str">
        <f>IF(B12="出让",IF(H13="","",ROUNDDOWN(MIN((H13-$D$3)/365,H14),2)),H14)</f>
        <v/>
      </c>
      <c r="I15" s="2635" t="str">
        <f>IF(B12="出让",IF(I13="","",ROUNDDOWN(MIN((I13-$D$3)/365,I14),2)),I14)</f>
        <v/>
      </c>
      <c r="J15" s="2664"/>
      <c r="K15" s="2840"/>
      <c r="L15" s="2676"/>
      <c r="M15" s="2676"/>
      <c r="N15" s="2731"/>
      <c r="O15" s="2676"/>
      <c r="P15" s="2731"/>
      <c r="Q15" s="2664"/>
      <c r="R15" s="2664"/>
    </row>
    <row r="16" spans="1:28">
      <c r="A16" s="2623" t="s">
        <v>2938</v>
      </c>
      <c r="B16" s="3161"/>
      <c r="C16" s="3162"/>
      <c r="D16" s="3163"/>
      <c r="E16" s="2638" t="s">
        <v>2939</v>
      </c>
      <c r="F16" s="3164"/>
      <c r="G16" s="3165"/>
      <c r="H16" s="3165"/>
      <c r="I16" s="3166"/>
      <c r="J16" s="2664"/>
      <c r="K16" s="2840"/>
      <c r="L16" s="2676"/>
      <c r="M16" s="2676"/>
      <c r="N16" s="2731"/>
      <c r="O16" s="2676"/>
      <c r="P16" s="2731"/>
      <c r="Q16" s="2664"/>
      <c r="R16" s="2664"/>
    </row>
    <row r="17" spans="1:28">
      <c r="A17" s="319" t="s">
        <v>2940</v>
      </c>
      <c r="B17" s="308" t="s">
        <v>2941</v>
      </c>
      <c r="C17" s="11">
        <f>'数据-汇总表'!E3</f>
        <v>39707.960000000006</v>
      </c>
      <c r="D17" s="2544" t="s">
        <v>2942</v>
      </c>
      <c r="E17" s="3167" t="s">
        <v>2943</v>
      </c>
      <c r="F17" s="3168"/>
      <c r="G17" s="3168"/>
      <c r="H17" s="3168"/>
      <c r="I17" s="3169"/>
      <c r="J17" s="2664"/>
      <c r="K17" s="2841"/>
      <c r="L17" s="2676"/>
      <c r="M17" s="2676"/>
      <c r="N17" s="2731"/>
      <c r="O17" s="2676"/>
      <c r="P17" s="2731"/>
      <c r="Q17" s="2664"/>
      <c r="R17" s="2664"/>
      <c r="S17" s="2664"/>
      <c r="T17" s="2664"/>
      <c r="U17" s="2664"/>
      <c r="V17" s="2664"/>
    </row>
    <row r="18" spans="1:28" ht="24.75" thickBot="1">
      <c r="A18" s="2639" t="s">
        <v>2944</v>
      </c>
      <c r="B18" s="1250" t="s">
        <v>2945</v>
      </c>
      <c r="C18" s="2640">
        <f>'数据-汇总表'!D3</f>
        <v>6294.36</v>
      </c>
      <c r="D18" s="1252" t="s">
        <v>2946</v>
      </c>
      <c r="E18" s="3170" t="s">
        <v>2947</v>
      </c>
      <c r="F18" s="3171"/>
      <c r="G18" s="3171"/>
      <c r="H18" s="3171"/>
      <c r="I18" s="3172"/>
      <c r="J18" s="2664"/>
      <c r="K18" s="2841"/>
      <c r="L18" s="2676"/>
      <c r="M18" s="2676"/>
      <c r="N18" s="2731"/>
      <c r="O18" s="2676"/>
      <c r="P18" s="2731"/>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87"/>
      <c r="I19" s="2887"/>
      <c r="J19" s="2664"/>
      <c r="K19" s="2838"/>
      <c r="L19" s="2835"/>
      <c r="M19" s="2835"/>
      <c r="N19" s="2731"/>
      <c r="O19" s="2676"/>
      <c r="P19" s="2731"/>
      <c r="Q19" s="2664"/>
      <c r="R19" s="2664"/>
      <c r="S19" s="2664"/>
      <c r="T19" s="2664"/>
      <c r="U19" s="2664"/>
      <c r="V19" s="2664"/>
    </row>
    <row r="20" spans="1:28">
      <c r="A20" s="2855" t="s">
        <v>2950</v>
      </c>
      <c r="B20" s="3157" t="s">
        <v>2951</v>
      </c>
      <c r="C20" s="3158"/>
      <c r="D20" s="3159" t="s">
        <v>2952</v>
      </c>
      <c r="E20" s="3160"/>
      <c r="F20" s="2870" t="s">
        <v>1742</v>
      </c>
      <c r="G20" s="2887"/>
      <c r="H20" s="2887"/>
      <c r="I20" s="2887"/>
      <c r="J20" s="2664"/>
      <c r="K20" s="315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5"/>
      <c r="B21" s="2856" t="s">
        <v>2954</v>
      </c>
      <c r="C21" s="2857" t="s">
        <v>1743</v>
      </c>
      <c r="D21" s="1752" t="s">
        <v>2955</v>
      </c>
      <c r="E21" s="2858" t="s">
        <v>1743</v>
      </c>
      <c r="F21" s="2871"/>
      <c r="G21" s="2887"/>
      <c r="H21" s="2887"/>
      <c r="I21" s="2887"/>
      <c r="J21" s="2664"/>
      <c r="K21" s="31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5"/>
      <c r="B22" s="2859" t="s">
        <v>2956</v>
      </c>
      <c r="C22" s="2857" t="s">
        <v>1744</v>
      </c>
      <c r="D22" s="2886"/>
      <c r="E22" s="2886"/>
      <c r="F22" s="2886"/>
      <c r="G22" s="2887"/>
      <c r="H22" s="2887"/>
      <c r="I22" s="2887"/>
      <c r="J22" s="2664"/>
      <c r="K22" s="31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0" t="s">
        <v>2957</v>
      </c>
      <c r="B23" s="2724" t="s">
        <v>2958</v>
      </c>
      <c r="C23" s="2861"/>
      <c r="D23" s="2862" t="s">
        <v>2958</v>
      </c>
      <c r="E23" s="2863"/>
      <c r="F23" s="2886"/>
      <c r="G23" s="2887"/>
      <c r="H23" s="2887"/>
      <c r="I23" s="2887"/>
      <c r="J23" s="2664"/>
      <c r="K23" s="2842"/>
      <c r="L23" s="2698"/>
      <c r="M23" s="2835"/>
      <c r="N23" s="2731"/>
      <c r="O23" s="2676"/>
      <c r="P23" s="2731"/>
      <c r="Q23" s="2664"/>
      <c r="R23" s="2664"/>
      <c r="S23" s="2664"/>
      <c r="T23" s="2664"/>
      <c r="U23" s="2664"/>
      <c r="V23" s="2664"/>
    </row>
    <row r="24" spans="1:28">
      <c r="A24" s="2860"/>
      <c r="B24" s="2724" t="s">
        <v>1745</v>
      </c>
      <c r="C24" s="2864"/>
      <c r="D24" s="2860" t="s">
        <v>1745</v>
      </c>
      <c r="E24" s="2865"/>
      <c r="F24" s="2886"/>
      <c r="G24" s="2887"/>
      <c r="H24" s="2887"/>
      <c r="I24" s="2887"/>
      <c r="J24" s="2664"/>
      <c r="K24" s="2842"/>
      <c r="L24" s="2698"/>
      <c r="M24" s="2835"/>
      <c r="N24" s="2731"/>
      <c r="O24" s="2676"/>
      <c r="P24" s="2731"/>
      <c r="Q24" s="2664"/>
      <c r="R24" s="2664"/>
      <c r="S24" s="2664"/>
      <c r="T24" s="2664"/>
      <c r="U24" s="2664"/>
      <c r="V24" s="2664"/>
    </row>
    <row r="25" spans="1:28">
      <c r="A25" s="2860"/>
      <c r="B25" s="2724" t="s">
        <v>1746</v>
      </c>
      <c r="C25" s="2864"/>
      <c r="D25" s="2860" t="s">
        <v>1746</v>
      </c>
      <c r="E25" s="2865"/>
      <c r="F25" s="2886"/>
      <c r="G25" s="2887"/>
      <c r="H25" s="2887"/>
      <c r="I25" s="2887"/>
      <c r="J25" s="2664"/>
      <c r="K25" s="2838"/>
      <c r="L25" s="2835"/>
      <c r="M25" s="2835"/>
      <c r="N25" s="2731"/>
      <c r="O25" s="2676"/>
      <c r="P25" s="2731"/>
      <c r="Q25" s="2664"/>
      <c r="R25" s="2664"/>
      <c r="S25" s="2664"/>
      <c r="T25" s="2664"/>
      <c r="U25" s="2664"/>
      <c r="V25" s="2664"/>
    </row>
    <row r="26" spans="1:28" ht="13.5" thickBot="1">
      <c r="A26" s="2866"/>
      <c r="B26" s="2867" t="s">
        <v>1747</v>
      </c>
      <c r="C26" s="2868"/>
      <c r="D26" s="2866" t="s">
        <v>1747</v>
      </c>
      <c r="E26" s="2869"/>
      <c r="F26" s="2888"/>
      <c r="G26" s="2888"/>
      <c r="H26" s="2888"/>
      <c r="I26" s="2888"/>
      <c r="J26" s="2664"/>
      <c r="K26" s="2838"/>
      <c r="L26" s="2835"/>
      <c r="M26" s="2835"/>
      <c r="N26" s="2731"/>
      <c r="O26" s="2676"/>
      <c r="P26" s="2731"/>
      <c r="Q26" s="2664"/>
      <c r="R26" s="2664"/>
      <c r="S26" s="2664"/>
      <c r="T26" s="2664"/>
      <c r="U26" s="2664"/>
      <c r="V26" s="2664"/>
    </row>
    <row r="27" spans="1:28" ht="13.5" thickTop="1">
      <c r="A27" s="3144" t="s">
        <v>2959</v>
      </c>
      <c r="B27" s="326" t="s">
        <v>2960</v>
      </c>
      <c r="C27" s="2641"/>
      <c r="D27" s="2642"/>
      <c r="E27" s="2887"/>
      <c r="F27" s="2887"/>
      <c r="G27" s="2887"/>
      <c r="H27" s="2887"/>
      <c r="I27" s="2887"/>
      <c r="J27" s="2664"/>
      <c r="K27" s="2840"/>
      <c r="L27" s="2676"/>
      <c r="M27" s="2676"/>
      <c r="N27" s="2731"/>
      <c r="O27" s="2676"/>
      <c r="P27" s="2731"/>
      <c r="Q27" s="2664"/>
      <c r="R27" s="2664"/>
      <c r="S27" s="2664"/>
      <c r="T27" s="2664"/>
      <c r="U27" s="2664"/>
      <c r="V27" s="2664"/>
    </row>
    <row r="28" spans="1:28">
      <c r="A28" s="3144"/>
      <c r="B28" s="308" t="s">
        <v>2961</v>
      </c>
      <c r="C28" s="2643"/>
      <c r="D28" s="2644"/>
      <c r="E28" s="2887"/>
      <c r="F28" s="2887"/>
      <c r="G28" s="2887"/>
      <c r="H28" s="2887"/>
      <c r="I28" s="2887"/>
      <c r="J28" s="2664"/>
      <c r="K28" s="2838"/>
      <c r="L28" s="2835"/>
      <c r="M28" s="2835"/>
      <c r="N28" s="2664"/>
      <c r="O28" s="2675"/>
      <c r="P28" s="2664"/>
      <c r="Q28" s="2664"/>
      <c r="R28" s="2664"/>
      <c r="S28" s="2664"/>
      <c r="T28" s="2664"/>
      <c r="U28" s="2664"/>
      <c r="V28" s="2664"/>
    </row>
    <row r="29" spans="1:28">
      <c r="A29" s="3144"/>
      <c r="B29" s="308" t="s">
        <v>2962</v>
      </c>
      <c r="C29" s="2645"/>
      <c r="D29" s="2646"/>
      <c r="E29" s="2887"/>
      <c r="F29" s="2887"/>
      <c r="G29" s="2887"/>
      <c r="H29" s="2887"/>
      <c r="I29" s="2887"/>
      <c r="J29" s="2664"/>
      <c r="K29" s="2838"/>
      <c r="L29" s="2835"/>
      <c r="M29" s="2835"/>
      <c r="N29" s="2664"/>
      <c r="O29" s="2675"/>
      <c r="P29" s="2664"/>
      <c r="Q29" s="2664"/>
      <c r="R29" s="2664"/>
      <c r="S29" s="2664"/>
      <c r="T29" s="2664"/>
      <c r="U29" s="2664"/>
      <c r="V29" s="2664"/>
    </row>
    <row r="30" spans="1:28">
      <c r="A30" s="3145"/>
      <c r="B30" s="308" t="s">
        <v>2963</v>
      </c>
      <c r="C30" s="3146"/>
      <c r="D30" s="3147"/>
      <c r="E30" s="2887"/>
      <c r="F30" s="2887"/>
      <c r="G30" s="2887"/>
      <c r="H30" s="2887"/>
      <c r="I30" s="2887"/>
      <c r="J30" s="2664"/>
      <c r="K30" s="2838"/>
      <c r="L30" s="2835"/>
      <c r="M30" s="2835"/>
      <c r="N30" s="2664"/>
      <c r="O30" s="2675"/>
      <c r="P30" s="2664"/>
      <c r="Q30" s="2664"/>
      <c r="R30" s="2664"/>
      <c r="S30" s="2664"/>
      <c r="T30" s="2664"/>
      <c r="U30" s="2664"/>
      <c r="V30" s="2664"/>
    </row>
    <row r="31" spans="1:28">
      <c r="A31" s="3148" t="s">
        <v>2964</v>
      </c>
      <c r="B31" s="2647"/>
      <c r="C31" s="2545" t="str">
        <f>IF(B31="现房","成新及维护状况正常否",IF(B31="在建","工程状态是否正常",IF(B31="土地","是否闲置","-")))</f>
        <v>-</v>
      </c>
      <c r="D31" s="1556"/>
      <c r="E31" s="2648"/>
      <c r="F31" s="2887"/>
      <c r="G31" s="2887"/>
      <c r="H31" s="2887"/>
      <c r="I31" s="2887"/>
      <c r="J31" s="2664"/>
      <c r="K31" s="2837"/>
      <c r="L31" s="2835"/>
      <c r="M31" s="2835"/>
      <c r="N31" s="2664"/>
      <c r="O31" s="2675"/>
      <c r="P31" s="2664"/>
      <c r="Q31" s="2664"/>
      <c r="R31" s="2664"/>
      <c r="S31" s="2664"/>
      <c r="T31" s="2664"/>
      <c r="U31" s="2664"/>
      <c r="V31" s="2664"/>
    </row>
    <row r="32" spans="1:28">
      <c r="A32" s="3149"/>
      <c r="B32" s="2647"/>
      <c r="C32" s="2545" t="str">
        <f>IF(B32="现房","成新及维护状况是否正常",IF(B32="在建","工程状态是否正常",IF(B32="土地","是否闲置","-")))</f>
        <v>-</v>
      </c>
      <c r="D32" s="1556"/>
      <c r="E32" s="2648"/>
      <c r="F32" s="2887"/>
      <c r="G32" s="2887"/>
      <c r="H32" s="2887"/>
      <c r="I32" s="2887"/>
      <c r="J32" s="2664"/>
      <c r="K32" s="2838"/>
      <c r="L32" s="2835"/>
      <c r="M32" s="2835"/>
      <c r="N32" s="2664"/>
      <c r="O32" s="2675"/>
      <c r="P32" s="2664"/>
      <c r="Q32" s="2664"/>
      <c r="R32" s="2664"/>
      <c r="S32" s="2664"/>
      <c r="T32" s="2664"/>
      <c r="U32" s="2664"/>
      <c r="V32" s="2664"/>
    </row>
    <row r="33" spans="1:30">
      <c r="A33" s="3149"/>
      <c r="B33" s="2650"/>
      <c r="C33" s="1774" t="str">
        <f>IF(B33="现房","成新及维护状况是否正常",IF(B33="在建","工程状态是否正常",IF(B33="土地","是否闲置","-")))</f>
        <v>-</v>
      </c>
      <c r="D33" s="1548"/>
      <c r="E33" s="2651"/>
      <c r="F33" s="2887"/>
      <c r="G33" s="2887"/>
      <c r="H33" s="2887"/>
      <c r="I33" s="2887"/>
      <c r="J33" s="2664"/>
      <c r="K33" s="2838"/>
      <c r="L33" s="2835"/>
      <c r="M33" s="2835"/>
      <c r="N33" s="2664"/>
      <c r="O33" s="2675"/>
      <c r="P33" s="2664"/>
      <c r="Q33" s="2664"/>
      <c r="R33" s="2664"/>
      <c r="S33" s="2664"/>
      <c r="T33" s="2664"/>
      <c r="U33" s="2664"/>
      <c r="V33" s="2664"/>
    </row>
    <row r="34" spans="1:30">
      <c r="A34" s="308" t="s">
        <v>2965</v>
      </c>
      <c r="B34" s="2213"/>
      <c r="C34" s="2213"/>
      <c r="D34" s="2213"/>
      <c r="E34" s="2213"/>
      <c r="F34" s="2213"/>
      <c r="G34" s="2213"/>
      <c r="H34" s="2213"/>
      <c r="I34" s="2887"/>
      <c r="J34" s="2664"/>
      <c r="K34" s="2652">
        <f>COUNTIF(B34:H34,"——")</f>
        <v>0</v>
      </c>
      <c r="L34" s="329" t="s">
        <v>2966</v>
      </c>
      <c r="M34" s="329" t="s">
        <v>2967</v>
      </c>
      <c r="N34" s="329" t="s">
        <v>2968</v>
      </c>
      <c r="O34" s="329" t="s">
        <v>2969</v>
      </c>
      <c r="P34" s="329" t="s">
        <v>2970</v>
      </c>
      <c r="Q34" s="329" t="s">
        <v>2971</v>
      </c>
      <c r="R34" s="329" t="s">
        <v>2972</v>
      </c>
      <c r="S34" s="3143" t="s">
        <v>2973</v>
      </c>
      <c r="T34" s="2653" t="str">
        <f>NUMBERSTRING(7-K34,1)&amp;"通"</f>
        <v>七通</v>
      </c>
      <c r="U34" s="2664"/>
      <c r="V34" s="2664"/>
    </row>
    <row r="35" spans="1:30">
      <c r="A35" s="2654"/>
      <c r="B35" s="3150" t="s">
        <v>2974</v>
      </c>
      <c r="C35" s="3150"/>
      <c r="D35" s="3150"/>
      <c r="E35" s="3150"/>
      <c r="F35" s="673">
        <f>C10</f>
        <v>0</v>
      </c>
      <c r="G35" s="2887"/>
      <c r="H35" s="2887"/>
      <c r="I35" s="2887"/>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3"/>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3"/>
      <c r="G36" s="2887"/>
      <c r="H36" s="2887"/>
      <c r="I36" s="2887"/>
      <c r="J36" s="2664"/>
      <c r="K36" s="2838"/>
      <c r="L36" s="2835"/>
      <c r="M36" s="2835"/>
      <c r="N36" s="2664"/>
      <c r="O36" s="2675"/>
      <c r="P36" s="2664"/>
      <c r="Q36" s="2664"/>
      <c r="R36" s="2664"/>
      <c r="S36" s="2664"/>
      <c r="T36" s="2664"/>
      <c r="U36" s="2664"/>
      <c r="V36" s="2664"/>
    </row>
    <row r="37" spans="1:30">
      <c r="A37" s="2853" t="s">
        <v>2975</v>
      </c>
      <c r="B37" s="2656"/>
      <c r="C37" s="2656" t="s">
        <v>526</v>
      </c>
      <c r="D37" s="2656"/>
      <c r="E37" s="2656"/>
      <c r="F37" s="2893"/>
      <c r="G37" s="2887"/>
      <c r="H37" s="2887"/>
      <c r="I37" s="2887"/>
      <c r="J37" s="2664"/>
      <c r="K37" s="2838"/>
      <c r="L37" s="2835"/>
      <c r="M37" s="2835"/>
      <c r="N37" s="2664"/>
      <c r="O37" s="2675"/>
      <c r="P37" s="2664"/>
      <c r="Q37" s="2664"/>
      <c r="R37" s="2664"/>
      <c r="S37" s="2664"/>
      <c r="T37" s="2664"/>
      <c r="U37" s="2664"/>
      <c r="V37" s="2664"/>
    </row>
    <row r="38" spans="1:30" ht="13.5" thickBot="1">
      <c r="A38" s="2854" t="s">
        <v>2976</v>
      </c>
      <c r="B38" s="2657"/>
      <c r="C38" s="2657" t="s">
        <v>3065</v>
      </c>
      <c r="D38" s="2657"/>
      <c r="E38" s="2657"/>
      <c r="F38" s="2894"/>
      <c r="G38" s="2888"/>
      <c r="H38" s="2888"/>
      <c r="I38" s="2888"/>
      <c r="J38" s="2664"/>
      <c r="K38" s="2838"/>
      <c r="L38" s="2835"/>
      <c r="M38" s="2835"/>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3"/>
      <c r="B40" s="2593"/>
      <c r="C40" s="2593"/>
      <c r="D40" s="2593"/>
      <c r="E40" s="2593"/>
      <c r="F40" s="2593"/>
      <c r="G40" s="2593"/>
      <c r="H40" s="2593"/>
      <c r="I40" s="1762"/>
      <c r="J40" s="2731"/>
      <c r="K40" s="2837"/>
      <c r="L40" s="2676"/>
      <c r="M40" s="2676"/>
      <c r="N40" s="2731"/>
      <c r="O40" s="2676"/>
      <c r="P40" s="2664"/>
      <c r="Q40" s="2664"/>
      <c r="R40" s="2664"/>
      <c r="S40" s="2664"/>
      <c r="T40" s="2664"/>
      <c r="U40" s="2664"/>
      <c r="V40" s="2664"/>
    </row>
    <row r="41" spans="1:30">
      <c r="A41" s="2661" t="s">
        <v>2978</v>
      </c>
      <c r="B41" s="1942"/>
      <c r="C41" s="1556"/>
      <c r="D41" s="2593"/>
      <c r="E41" s="2593"/>
      <c r="F41" s="2593"/>
      <c r="G41" s="2593"/>
      <c r="H41" s="2593"/>
      <c r="I41" s="1760"/>
      <c r="J41" s="2664"/>
      <c r="K41" s="2838"/>
      <c r="L41" s="2835"/>
      <c r="M41" s="2835"/>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49" t="s">
        <v>2988</v>
      </c>
      <c r="K42" s="2850" t="s">
        <v>2989</v>
      </c>
      <c r="L42" s="2850" t="s">
        <v>2990</v>
      </c>
      <c r="M42" s="2850" t="s">
        <v>2991</v>
      </c>
      <c r="N42" s="2843" t="s">
        <v>2992</v>
      </c>
      <c r="O42" s="2843" t="s">
        <v>2993</v>
      </c>
      <c r="P42" s="2843" t="s">
        <v>2994</v>
      </c>
      <c r="Q42" s="2844" t="s">
        <v>2995</v>
      </c>
      <c r="R42" s="2844"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hidden="1" customWidth="1"/>
    <col min="31" max="31" width="9.75" style="1757" hidden="1" customWidth="1"/>
    <col min="32" max="37" width="9.5" style="1757" hidden="1" customWidth="1"/>
    <col min="38"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6294.36</v>
      </c>
      <c r="B3" s="14">
        <f>IF(C3="否",G5-AT5,G5)</f>
        <v>39707.960000000006</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39707.960000000006</v>
      </c>
      <c r="H5" s="16">
        <f t="shared" ref="H5:AT5" si="0">SUM(H13:H656)</f>
        <v>39425.990000000005</v>
      </c>
      <c r="I5" s="16">
        <f t="shared" si="0"/>
        <v>32206.960000000006</v>
      </c>
      <c r="J5" s="16">
        <f t="shared" si="0"/>
        <v>0</v>
      </c>
      <c r="K5" s="16">
        <f t="shared" si="0"/>
        <v>7219.03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281.96999999999997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281.96999999999997</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39707.960000000006</v>
      </c>
      <c r="BA5" s="18">
        <f t="shared" si="1"/>
        <v>39425.990000000005</v>
      </c>
      <c r="BB5" s="18">
        <f t="shared" si="1"/>
        <v>32206.960000000006</v>
      </c>
      <c r="BC5" s="18">
        <f t="shared" si="1"/>
        <v>7219.03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281.96999999999997</v>
      </c>
      <c r="BM5" s="18">
        <f t="shared" si="1"/>
        <v>0</v>
      </c>
      <c r="BN5" s="18">
        <f t="shared" si="1"/>
        <v>0</v>
      </c>
      <c r="BO5" s="18">
        <f t="shared" si="1"/>
        <v>0</v>
      </c>
      <c r="BP5" s="18">
        <f t="shared" si="1"/>
        <v>0</v>
      </c>
      <c r="BQ5" s="18">
        <f t="shared" si="1"/>
        <v>281.96999999999997</v>
      </c>
      <c r="BR5" s="18">
        <f t="shared" si="1"/>
        <v>0</v>
      </c>
      <c r="BS5" s="18">
        <f t="shared" si="1"/>
        <v>0</v>
      </c>
      <c r="BT5" s="19">
        <f t="shared" si="1"/>
        <v>0</v>
      </c>
    </row>
    <row r="6" spans="1:72" s="1773" customFormat="1" ht="12.75">
      <c r="A6" s="15" t="s">
        <v>1758</v>
      </c>
      <c r="B6" s="1770"/>
      <c r="C6" s="1770"/>
      <c r="D6" s="1771"/>
      <c r="E6" s="16">
        <f>H6+AC6+AT6</f>
        <v>6294.36</v>
      </c>
      <c r="F6" s="16" t="s">
        <v>1</v>
      </c>
      <c r="G6" s="16" t="s">
        <v>2</v>
      </c>
      <c r="H6" s="20">
        <f>SUMIF(I$12:AB$12,"总值",I6:AB6)</f>
        <v>6249.66</v>
      </c>
      <c r="I6" s="16">
        <f t="shared" ref="I6:AB6" si="2">ROUND($A$3*I5/$B$3,2)</f>
        <v>5105.33</v>
      </c>
      <c r="J6" s="16">
        <f t="shared" si="2"/>
        <v>0</v>
      </c>
      <c r="K6" s="16">
        <f t="shared" si="2"/>
        <v>1144.33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44.7</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6294.36</v>
      </c>
      <c r="AZ6" s="16" t="s">
        <v>3</v>
      </c>
      <c r="BA6" s="16">
        <f>ROUND($AY$6*BA5/$AZ$5,2)</f>
        <v>6249.66</v>
      </c>
      <c r="BB6" s="16">
        <f>ROUND($AY$6*BB5/$AZ$5,2)</f>
        <v>5105.33</v>
      </c>
      <c r="BC6" s="16">
        <f t="shared" ref="BC6:BH6" si="4">ROUND($AY$6*BC5/$AZ$5,2)</f>
        <v>1144.33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44.7</v>
      </c>
      <c r="BM6" s="16">
        <f t="shared" si="5"/>
        <v>0</v>
      </c>
      <c r="BN6" s="16">
        <f t="shared" si="5"/>
        <v>0</v>
      </c>
      <c r="BO6" s="16">
        <f t="shared" si="5"/>
        <v>0</v>
      </c>
      <c r="BP6" s="16">
        <f t="shared" si="5"/>
        <v>0</v>
      </c>
      <c r="BQ6" s="16">
        <f t="shared" si="5"/>
        <v>44.7</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3079</v>
      </c>
      <c r="J9" s="918"/>
      <c r="K9" s="1787" t="s">
        <v>3084</v>
      </c>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3270</v>
      </c>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t="str">
        <f>K9</f>
        <v>地下</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3080</v>
      </c>
      <c r="J11" s="1799"/>
      <c r="K11" s="1798" t="s">
        <v>3081</v>
      </c>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办公楼</v>
      </c>
      <c r="BC12" s="1808" t="str">
        <f>K11</f>
        <v>车库</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1809" t="s">
        <v>3078</v>
      </c>
      <c r="E13" s="16">
        <f>IF($C$3="是",ROUND($A$3*G13/$B$3,2),ROUND($A$3*(G13-AT13)/$B$3,2))</f>
        <v>6294.36</v>
      </c>
      <c r="F13" s="32"/>
      <c r="G13" s="33">
        <f>H13+AC13+AT13</f>
        <v>39707.960000000006</v>
      </c>
      <c r="H13" s="20">
        <f>SUMIF(I$12:AB$12,"总值",I13:AB13)</f>
        <v>39425.990000000005</v>
      </c>
      <c r="I13" s="1810">
        <f>面积!C29</f>
        <v>32206.960000000006</v>
      </c>
      <c r="J13" s="1810"/>
      <c r="K13" s="1810">
        <f>面积!C31</f>
        <v>7219.03</v>
      </c>
      <c r="L13" s="1810"/>
      <c r="M13" s="1810"/>
      <c r="N13" s="1810"/>
      <c r="O13" s="1810"/>
      <c r="P13" s="1810"/>
      <c r="Q13" s="1810"/>
      <c r="R13" s="1810"/>
      <c r="S13" s="1810"/>
      <c r="T13" s="1810"/>
      <c r="U13" s="1810"/>
      <c r="V13" s="1810"/>
      <c r="W13" s="1810"/>
      <c r="X13" s="1810"/>
      <c r="Y13" s="1810"/>
      <c r="Z13" s="1810"/>
      <c r="AA13" s="1810"/>
      <c r="AB13" s="1810"/>
      <c r="AC13" s="16">
        <f>SUMIF(AD$12:AS$12,"总值",AD13:AS13)</f>
        <v>281.96999999999997</v>
      </c>
      <c r="AD13" s="1811"/>
      <c r="AE13" s="1811"/>
      <c r="AF13" s="1811"/>
      <c r="AG13" s="1811"/>
      <c r="AH13" s="1811"/>
      <c r="AI13" s="1811"/>
      <c r="AJ13" s="1811"/>
      <c r="AK13" s="1811"/>
      <c r="AL13" s="1811">
        <f>面积!C30</f>
        <v>281.96999999999997</v>
      </c>
      <c r="AM13" s="1811"/>
      <c r="AN13" s="1811"/>
      <c r="AO13" s="1811"/>
      <c r="AP13" s="1811"/>
      <c r="AQ13" s="1811"/>
      <c r="AR13" s="1811"/>
      <c r="AS13" s="1811"/>
      <c r="AT13" s="1812"/>
      <c r="AU13" s="1813"/>
      <c r="AV13" s="11">
        <f t="shared" ref="AV13:AX17" si="6">A13</f>
        <v>0</v>
      </c>
      <c r="AW13" s="11">
        <f t="shared" si="6"/>
        <v>0</v>
      </c>
      <c r="AX13" s="11">
        <f t="shared" si="6"/>
        <v>0</v>
      </c>
      <c r="AY13" s="1532">
        <f>ROUND($AY$6*AZ13/$AZ$5,2)</f>
        <v>6294.36</v>
      </c>
      <c r="AZ13" s="16">
        <f>BA13+BL13</f>
        <v>39707.960000000006</v>
      </c>
      <c r="BA13" s="16">
        <f>SUM(BB13:BK13)</f>
        <v>39425.990000000005</v>
      </c>
      <c r="BB13" s="16">
        <f>IF($D13="是",I13-J13,0)</f>
        <v>32206.960000000006</v>
      </c>
      <c r="BC13" s="16">
        <f>IF($D13="是",K13-L13,0)</f>
        <v>7219.03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281.96999999999997</v>
      </c>
      <c r="BM13" s="16">
        <f>IF($D13="是",AD13-AE13,0)</f>
        <v>0</v>
      </c>
      <c r="BN13" s="16">
        <f>IF($D13="是",AF13-AG13,0)</f>
        <v>0</v>
      </c>
      <c r="BO13" s="16">
        <f>IF($D13="是",AH13-AI13,0)</f>
        <v>0</v>
      </c>
      <c r="BP13" s="16">
        <f>IF($D13="是",AJ13-AK13,0)</f>
        <v>0</v>
      </c>
      <c r="BQ13" s="16">
        <f>IF($D13="是",AL13-AM13,0)</f>
        <v>281.96999999999997</v>
      </c>
      <c r="BR13" s="16">
        <f>IF($D13="是",AN13-AO13,0)</f>
        <v>0</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C9F4-BEC6-4307-BB6C-EDDED4849937}">
  <dimension ref="A1:D33"/>
  <sheetViews>
    <sheetView workbookViewId="0">
      <selection activeCell="C34" sqref="C34"/>
    </sheetView>
  </sheetViews>
  <sheetFormatPr defaultRowHeight="13.5"/>
  <sheetData>
    <row r="1" spans="1:3">
      <c r="B1" s="3069" t="s">
        <v>3066</v>
      </c>
      <c r="C1" s="3069" t="s">
        <v>3067</v>
      </c>
    </row>
    <row r="2" spans="1:3">
      <c r="A2" s="3069" t="s">
        <v>3068</v>
      </c>
      <c r="B2">
        <v>3996.73</v>
      </c>
      <c r="C2">
        <v>3515.45</v>
      </c>
    </row>
    <row r="3" spans="1:3">
      <c r="A3" s="3069" t="s">
        <v>3069</v>
      </c>
      <c r="B3">
        <v>3996.71</v>
      </c>
      <c r="C3">
        <v>63.75</v>
      </c>
    </row>
    <row r="4" spans="1:3">
      <c r="A4" s="3069" t="s">
        <v>3070</v>
      </c>
      <c r="B4">
        <v>152.22</v>
      </c>
    </row>
    <row r="5" spans="1:3">
      <c r="A5" s="3069" t="s">
        <v>3071</v>
      </c>
      <c r="B5">
        <v>2695.74</v>
      </c>
      <c r="C5">
        <v>43.17</v>
      </c>
    </row>
    <row r="6" spans="1:3">
      <c r="A6">
        <v>1</v>
      </c>
      <c r="B6">
        <v>2314.3200000000002</v>
      </c>
      <c r="C6">
        <v>42.93</v>
      </c>
    </row>
    <row r="7" spans="1:3">
      <c r="A7">
        <v>2</v>
      </c>
      <c r="B7">
        <v>2091.71</v>
      </c>
    </row>
    <row r="8" spans="1:3">
      <c r="A8">
        <v>3</v>
      </c>
      <c r="B8">
        <v>2095.34</v>
      </c>
    </row>
    <row r="9" spans="1:3">
      <c r="A9">
        <v>4</v>
      </c>
      <c r="B9">
        <v>2095.34</v>
      </c>
    </row>
    <row r="10" spans="1:3">
      <c r="A10">
        <v>5</v>
      </c>
      <c r="B10">
        <v>2095.34</v>
      </c>
    </row>
    <row r="11" spans="1:3">
      <c r="A11">
        <v>6</v>
      </c>
      <c r="B11">
        <v>2095.34</v>
      </c>
    </row>
    <row r="12" spans="1:3">
      <c r="A12">
        <v>7</v>
      </c>
      <c r="B12">
        <v>2095.34</v>
      </c>
    </row>
    <row r="13" spans="1:3">
      <c r="A13">
        <v>8</v>
      </c>
      <c r="B13">
        <v>2095.34</v>
      </c>
    </row>
    <row r="14" spans="1:3">
      <c r="A14">
        <v>9</v>
      </c>
      <c r="B14">
        <v>1614.81</v>
      </c>
    </row>
    <row r="15" spans="1:3">
      <c r="A15">
        <v>10</v>
      </c>
      <c r="B15">
        <v>1614.81</v>
      </c>
    </row>
    <row r="16" spans="1:3">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069" t="s">
        <v>3072</v>
      </c>
      <c r="B24">
        <v>23.51</v>
      </c>
    </row>
    <row r="25" spans="1:4">
      <c r="A25" s="3069" t="s">
        <v>3073</v>
      </c>
      <c r="B25">
        <v>258.45999999999998</v>
      </c>
    </row>
    <row r="26" spans="1:4">
      <c r="B26">
        <f>SUM(B2:B25)</f>
        <v>43373.26</v>
      </c>
      <c r="C26">
        <f>SUM(C2:C25)</f>
        <v>3665.2999999999997</v>
      </c>
      <c r="D26">
        <f>B26-C26</f>
        <v>39707.96</v>
      </c>
    </row>
    <row r="29" spans="1:4">
      <c r="B29" s="3069" t="s">
        <v>3074</v>
      </c>
      <c r="C29">
        <f>SUM(B6:B23)-C6</f>
        <v>32206.960000000006</v>
      </c>
    </row>
    <row r="30" spans="1:4">
      <c r="B30" s="3069" t="s">
        <v>3075</v>
      </c>
      <c r="C30">
        <f>B24+B25</f>
        <v>281.96999999999997</v>
      </c>
    </row>
    <row r="31" spans="1:4">
      <c r="B31" s="3069" t="s">
        <v>3076</v>
      </c>
      <c r="C31">
        <v>7219.03</v>
      </c>
      <c r="D31">
        <v>126</v>
      </c>
    </row>
    <row r="32" spans="1:4">
      <c r="B32" s="3069" t="s">
        <v>3077</v>
      </c>
      <c r="C32">
        <f>B2+B3+B4+B5-C2-C3-C5-C31</f>
        <v>0</v>
      </c>
    </row>
    <row r="33" spans="3:3">
      <c r="C33">
        <f>SUM(C29:C32)</f>
        <v>39707.960000000006</v>
      </c>
    </row>
  </sheetData>
  <phoneticPr fontId="1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topLeftCell="A10" zoomScale="90" zoomScaleNormal="100" zoomScaleSheetLayoutView="90" workbookViewId="0">
      <selection activeCell="G40" sqref="G4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2"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84" t="s">
        <v>1817</v>
      </c>
      <c r="B2" s="3184"/>
      <c r="C2" s="3184"/>
      <c r="D2" s="904" t="s">
        <v>1793</v>
      </c>
      <c r="E2" s="1823" t="s">
        <v>1794</v>
      </c>
      <c r="F2" s="2882"/>
      <c r="G2" s="2873"/>
      <c r="H2" s="2874"/>
      <c r="I2" s="2547" t="s">
        <v>1818</v>
      </c>
      <c r="J2" s="2882"/>
      <c r="K2" s="2882"/>
      <c r="L2" s="2882"/>
      <c r="M2" s="2882"/>
      <c r="N2" s="2884"/>
      <c r="O2" s="2882"/>
      <c r="P2" s="2882"/>
    </row>
    <row r="3" spans="1:16" ht="15.75" thickBot="1">
      <c r="A3" s="3185" t="s">
        <v>1791</v>
      </c>
      <c r="B3" s="3185"/>
      <c r="C3" s="3185"/>
      <c r="D3" s="46">
        <f>'数据-基础表'!AY6</f>
        <v>6294.36</v>
      </c>
      <c r="E3" s="46">
        <f>'数据-基础表'!AZ5</f>
        <v>39707.960000000006</v>
      </c>
      <c r="F3" s="2882"/>
      <c r="G3" s="1307"/>
      <c r="H3" s="1157" t="s">
        <v>1792</v>
      </c>
      <c r="I3" s="964">
        <f>ROUND('数据-基础表'!B3/'数据-基础表'!A3,2)</f>
        <v>6.31</v>
      </c>
      <c r="J3" s="2882"/>
      <c r="K3" s="2882"/>
      <c r="L3" s="2882"/>
      <c r="M3" s="2882"/>
      <c r="N3" s="2884"/>
      <c r="O3" s="2882"/>
      <c r="P3" s="2882"/>
    </row>
    <row r="4" spans="1:16" ht="15">
      <c r="A4" s="3186"/>
      <c r="B4" s="3187"/>
      <c r="C4" s="3188"/>
      <c r="D4" s="1825" t="s">
        <v>1793</v>
      </c>
      <c r="E4" s="1826" t="s">
        <v>1794</v>
      </c>
      <c r="F4" s="2882"/>
      <c r="G4" s="2875" t="s">
        <v>1819</v>
      </c>
      <c r="H4" s="1157" t="s">
        <v>1799</v>
      </c>
      <c r="I4" s="964">
        <f>ROUND(SUMIF('数据-基础表'!I9:AS9,"地上",'数据-基础表'!I5:AS5)/'数据-基础表'!A3,2)</f>
        <v>5.16</v>
      </c>
      <c r="J4" s="2882"/>
      <c r="K4" s="2882"/>
      <c r="L4" s="2882"/>
      <c r="M4" s="2882"/>
      <c r="N4" s="2884"/>
      <c r="O4" s="2882"/>
      <c r="P4" s="2882"/>
    </row>
    <row r="5" spans="1:16">
      <c r="A5" s="47" t="s">
        <v>1795</v>
      </c>
      <c r="B5" s="3189" t="s">
        <v>1796</v>
      </c>
      <c r="C5" s="3189"/>
      <c r="D5" s="48">
        <f>ROUND($D$3*E5/$E$3,2)</f>
        <v>0</v>
      </c>
      <c r="E5" s="49">
        <f>SUMIF('数据-基础表'!$11:$11,"住宅",'数据-基础表'!$5:$5)</f>
        <v>0</v>
      </c>
      <c r="F5" s="2882"/>
      <c r="G5" s="1307"/>
      <c r="H5" s="1157" t="s">
        <v>1792</v>
      </c>
      <c r="I5" s="964">
        <f>ROUND(E31/D31,2)</f>
        <v>6.31</v>
      </c>
      <c r="J5" s="2882"/>
      <c r="K5" s="2882"/>
      <c r="L5" s="2882"/>
      <c r="M5" s="2882"/>
      <c r="N5" s="2882"/>
      <c r="O5" s="2882"/>
      <c r="P5" s="2882"/>
    </row>
    <row r="6" spans="1:16" ht="15" thickBot="1">
      <c r="A6" s="1828"/>
      <c r="B6" s="3189" t="s">
        <v>1797</v>
      </c>
      <c r="C6" s="3189"/>
      <c r="D6" s="48">
        <f>ROUND($D$3*E6/$E$3,2)</f>
        <v>6294.36</v>
      </c>
      <c r="E6" s="49">
        <f>E3-E5</f>
        <v>39707.960000000006</v>
      </c>
      <c r="F6" s="2882"/>
      <c r="G6" s="2876" t="s">
        <v>1798</v>
      </c>
      <c r="H6" s="1308" t="s">
        <v>1799</v>
      </c>
      <c r="I6" s="2877">
        <f>ROUND(F31/D31,2)</f>
        <v>5.16</v>
      </c>
      <c r="J6" s="2882"/>
      <c r="K6" s="2882"/>
      <c r="L6" s="2882"/>
      <c r="M6" s="2882"/>
      <c r="N6" s="2882"/>
      <c r="O6" s="2882"/>
      <c r="P6" s="2882"/>
    </row>
    <row r="7" spans="1:16" ht="15.75" thickBot="1">
      <c r="A7" s="3181"/>
      <c r="B7" s="3182"/>
      <c r="C7" s="3183"/>
      <c r="D7" s="1825" t="s">
        <v>1793</v>
      </c>
      <c r="E7" s="1829" t="s">
        <v>1800</v>
      </c>
      <c r="F7" s="2882"/>
      <c r="G7" s="2878" t="s">
        <v>1801</v>
      </c>
      <c r="H7" s="2879"/>
      <c r="I7" s="2880">
        <v>4.1900000000000004</v>
      </c>
      <c r="J7" s="2882"/>
      <c r="K7" s="2882"/>
      <c r="L7" s="2882"/>
      <c r="M7" s="2882"/>
      <c r="N7" s="2882"/>
      <c r="O7" s="2882"/>
      <c r="P7" s="2882"/>
    </row>
    <row r="8" spans="1:16">
      <c r="A8" s="47" t="s">
        <v>1802</v>
      </c>
      <c r="B8" s="50" t="s">
        <v>1803</v>
      </c>
      <c r="C8" s="48" t="s">
        <v>1804</v>
      </c>
      <c r="D8" s="48">
        <f t="shared" ref="D8:D15" si="0">ROUND($D$3*E8/$E$3,2)</f>
        <v>5105.33</v>
      </c>
      <c r="E8" s="51">
        <f>SUMIF('数据-基础表'!BB10:BK10,"地上",'数据-基础表'!BB5:BK5)</f>
        <v>32206.960000000006</v>
      </c>
      <c r="F8" s="2882"/>
      <c r="G8" s="2883"/>
      <c r="H8" s="2883"/>
      <c r="I8" s="2882"/>
      <c r="J8" s="2882"/>
      <c r="K8" s="2882"/>
      <c r="L8" s="2882"/>
      <c r="M8" s="2882"/>
      <c r="N8" s="2882"/>
      <c r="O8" s="2882"/>
      <c r="P8" s="2882"/>
    </row>
    <row r="9" spans="1:16">
      <c r="A9" s="1830"/>
      <c r="B9" s="1831"/>
      <c r="C9" s="48" t="s">
        <v>1805</v>
      </c>
      <c r="D9" s="48">
        <f t="shared" si="0"/>
        <v>0</v>
      </c>
      <c r="E9" s="52">
        <v>0</v>
      </c>
      <c r="F9" s="2882"/>
      <c r="G9" s="2883"/>
      <c r="H9" s="2883"/>
      <c r="I9" s="2882"/>
      <c r="J9" s="2882"/>
      <c r="K9" s="2882"/>
      <c r="L9" s="2882"/>
      <c r="M9" s="2882"/>
      <c r="N9" s="2882"/>
      <c r="O9" s="2882"/>
      <c r="P9" s="2882"/>
    </row>
    <row r="10" spans="1:16">
      <c r="A10" s="1830"/>
      <c r="B10" s="1831"/>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0"/>
      <c r="B11" s="1831"/>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0"/>
      <c r="B12" s="1831"/>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0"/>
      <c r="B13" s="1831"/>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0"/>
      <c r="B14" s="1831"/>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0"/>
      <c r="B15" s="1831"/>
      <c r="C15" s="48" t="s">
        <v>1815</v>
      </c>
      <c r="D15" s="48">
        <f t="shared" si="0"/>
        <v>1144.33</v>
      </c>
      <c r="E15" s="51">
        <f>SUMPRODUCT(('数据-基础表'!BB10:BK10="地下")*('数据-基础表'!BB11:BK11="车库—办公")*('数据-基础表'!BB5:BK5))</f>
        <v>7219.03</v>
      </c>
      <c r="F15" s="2882"/>
      <c r="G15" s="2883"/>
      <c r="H15" s="2883"/>
      <c r="I15" s="2882"/>
      <c r="J15" s="2882"/>
      <c r="K15" s="2882"/>
      <c r="L15" s="2882"/>
      <c r="M15" s="2882"/>
      <c r="N15" s="2882"/>
      <c r="O15" s="2882"/>
      <c r="P15" s="2882"/>
    </row>
    <row r="16" spans="1:16" ht="15.75" thickBot="1">
      <c r="A16" s="1828"/>
      <c r="B16" s="1831"/>
      <c r="C16" s="50" t="s">
        <v>1809</v>
      </c>
      <c r="D16" s="50">
        <f>SUM(D8:D15)</f>
        <v>6249.66</v>
      </c>
      <c r="E16" s="53">
        <f>SUM(E8:E15)</f>
        <v>39425.990000000005</v>
      </c>
      <c r="F16" s="2882"/>
      <c r="G16" s="2883"/>
      <c r="H16" s="1832" t="s">
        <v>1821</v>
      </c>
      <c r="I16" s="1833"/>
      <c r="J16" s="1301"/>
      <c r="K16" s="3178" t="s">
        <v>1821</v>
      </c>
      <c r="L16" s="3179"/>
      <c r="M16" s="3179"/>
      <c r="N16" s="3179"/>
      <c r="O16" s="3179"/>
      <c r="P16" s="3180"/>
    </row>
    <row r="17" spans="1:19" ht="15">
      <c r="A17" s="1834" t="s">
        <v>1822</v>
      </c>
      <c r="B17" s="1835" t="s">
        <v>1823</v>
      </c>
      <c r="C17" s="1836" t="s">
        <v>1824</v>
      </c>
      <c r="D17" s="1837" t="s">
        <v>1812</v>
      </c>
      <c r="E17" s="1838" t="s">
        <v>1813</v>
      </c>
      <c r="F17" s="1839"/>
      <c r="G17" s="1840"/>
      <c r="H17" s="1841" t="s">
        <v>1825</v>
      </c>
      <c r="I17" s="1842" t="s">
        <v>1810</v>
      </c>
      <c r="J17" s="1301"/>
      <c r="K17" s="3175" t="s">
        <v>1826</v>
      </c>
      <c r="L17" s="3176"/>
      <c r="M17" s="3177"/>
      <c r="N17" s="3175" t="s">
        <v>1827</v>
      </c>
      <c r="O17" s="3176"/>
      <c r="P17" s="3177"/>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3070" t="s">
        <v>3082</v>
      </c>
      <c r="D19" s="48">
        <f>ROUND($D$3*E19/$E$3,2)</f>
        <v>5105.33</v>
      </c>
      <c r="E19" s="56">
        <f t="shared" ref="E19:E26" si="1">SUM(F19:G19)</f>
        <v>32206.960000000006</v>
      </c>
      <c r="F19" s="3022">
        <f>'数据-基础表'!I13</f>
        <v>32206.960000000006</v>
      </c>
      <c r="G19" s="3023"/>
      <c r="H19" s="679">
        <f>ROUND($D$3*I19/$E$3,2)</f>
        <v>36.51</v>
      </c>
      <c r="I19" s="51">
        <f t="shared" ref="I19:I26" si="2">IF($I$17="自定义",P19,M19)</f>
        <v>230.34</v>
      </c>
      <c r="J19" s="1301"/>
      <c r="K19" s="1300">
        <f t="shared" ref="K19:K26" si="3">ROUND(E$28*E19/E$27,2)</f>
        <v>230.34</v>
      </c>
      <c r="L19" s="1157">
        <f t="shared" ref="L19:L26" si="4">ROUND(IF(COUNTIF(C19,"*住宅*")&gt;0,E$29*E19/E$32,0),2)</f>
        <v>0</v>
      </c>
      <c r="M19" s="1312">
        <f>K19+L19</f>
        <v>230.34</v>
      </c>
      <c r="N19" s="1853"/>
      <c r="O19" s="1854"/>
      <c r="P19" s="1312">
        <f>N19+O19</f>
        <v>0</v>
      </c>
      <c r="R19" s="1157">
        <f t="shared" ref="R19:S26" si="5">D19+H19</f>
        <v>5141.84</v>
      </c>
      <c r="S19" s="1158">
        <f t="shared" si="5"/>
        <v>32437.300000000007</v>
      </c>
    </row>
    <row r="20" spans="1:19">
      <c r="A20" s="1855"/>
      <c r="B20" s="50" t="s">
        <v>1839</v>
      </c>
      <c r="C20" s="3070" t="s">
        <v>3083</v>
      </c>
      <c r="D20" s="48">
        <f t="shared" ref="D20:D26" si="6">ROUND($D$3*E20/$E$3,2)</f>
        <v>1144.33</v>
      </c>
      <c r="E20" s="56">
        <f t="shared" si="1"/>
        <v>7219.03</v>
      </c>
      <c r="F20" s="3022"/>
      <c r="G20" s="3023">
        <f>'数据-基础表'!K13</f>
        <v>7219.03</v>
      </c>
      <c r="H20" s="679">
        <f t="shared" ref="H20:H26" si="7">ROUND($D$3*I20/$E$3,2)</f>
        <v>8.18</v>
      </c>
      <c r="I20" s="51">
        <f t="shared" si="2"/>
        <v>51.63</v>
      </c>
      <c r="J20" s="1301"/>
      <c r="K20" s="1300">
        <f t="shared" si="3"/>
        <v>51.63</v>
      </c>
      <c r="L20" s="1157">
        <f t="shared" si="4"/>
        <v>0</v>
      </c>
      <c r="M20" s="1312">
        <f t="shared" ref="M20:M26" si="8">K20+L20</f>
        <v>51.63</v>
      </c>
      <c r="N20" s="1853"/>
      <c r="O20" s="1854"/>
      <c r="P20" s="1312">
        <f t="shared" ref="P20:P26" si="9">N20+O20</f>
        <v>0</v>
      </c>
      <c r="R20" s="1157">
        <f t="shared" si="5"/>
        <v>1152.51</v>
      </c>
      <c r="S20" s="1158">
        <f t="shared" si="5"/>
        <v>7270.66</v>
      </c>
    </row>
    <row r="21" spans="1:19">
      <c r="A21" s="1855"/>
      <c r="B21" s="50" t="s">
        <v>1839</v>
      </c>
      <c r="C21" s="1852"/>
      <c r="D21" s="48">
        <f t="shared" si="6"/>
        <v>0</v>
      </c>
      <c r="E21" s="56">
        <f t="shared" si="1"/>
        <v>0</v>
      </c>
      <c r="F21" s="3022"/>
      <c r="G21" s="3023"/>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1839</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29.25" thickBot="1">
      <c r="A27" s="1855"/>
      <c r="B27" s="48"/>
      <c r="C27" s="1858" t="s">
        <v>1840</v>
      </c>
      <c r="D27" s="1302">
        <f>SUM(D19:D26)</f>
        <v>6249.66</v>
      </c>
      <c r="E27" s="1303">
        <f>IF(SUM(E19:E26)='数据-基础表'!BA5,SUM(E19:E26),IF(F27="地上面积有误","面积有误","地下面积有误"))</f>
        <v>39425.990000000005</v>
      </c>
      <c r="F27" s="1302">
        <f>IF(SUM(F19:F26)=E8,SUM(F19:F26),"地上面积有误")</f>
        <v>32206.960000000006</v>
      </c>
      <c r="G27" s="1304">
        <f>SUM(G19:G26)</f>
        <v>7219.03</v>
      </c>
      <c r="H27" s="1305">
        <f>SUM(H19:H26)</f>
        <v>44.69</v>
      </c>
      <c r="I27" s="1306">
        <f>SUM(I19:I26)</f>
        <v>281.97000000000003</v>
      </c>
      <c r="J27" s="1301"/>
      <c r="K27" s="1309">
        <f>SUM(K19:K26)</f>
        <v>281.97000000000003</v>
      </c>
      <c r="L27" s="1310">
        <f>SUM(L19:L26)</f>
        <v>0</v>
      </c>
      <c r="M27" s="1313">
        <f>SUM(M19:M26)</f>
        <v>281.97000000000003</v>
      </c>
      <c r="N27" s="1309">
        <f t="shared" ref="N27:O27" si="10">SUM(N19:N26)</f>
        <v>0</v>
      </c>
      <c r="O27" s="1310">
        <f t="shared" si="10"/>
        <v>0</v>
      </c>
      <c r="P27" s="1311">
        <f>SUM(P19:P26)</f>
        <v>0</v>
      </c>
      <c r="R27" s="1159" t="str">
        <f>IF(SUM(R19:R26)=$D$3,SUM(R19:R26),SUM(R19:R26)&amp;"误差"&amp;ROUND(SUM(R19:R26)-$D$3,2))</f>
        <v>6294.35误差-0.01</v>
      </c>
      <c r="S27" s="1157">
        <f>IF(SUM(S19:S26)=$E$3,SUM(S19:S26),SUM(S19:S26)&amp;"误差"&amp;ROUND(SUM(S19:S26)-E3,2))</f>
        <v>39707.960000000006</v>
      </c>
    </row>
    <row r="28" spans="1:19">
      <c r="A28" s="1855"/>
      <c r="B28" s="50" t="s">
        <v>1841</v>
      </c>
      <c r="C28" s="1169" t="s">
        <v>1842</v>
      </c>
      <c r="D28" s="48">
        <f>ROUND($D$3*E28/$E$3,2)</f>
        <v>44.7</v>
      </c>
      <c r="E28" s="56">
        <f>SUM(F28:G28)</f>
        <v>281.96999999999997</v>
      </c>
      <c r="F28" s="60">
        <f>'数据-基础表'!BQ5+'数据-基础表'!BS5</f>
        <v>281.96999999999997</v>
      </c>
      <c r="G28" s="61">
        <f>'数据-基础表'!BR5+'数据-基础表'!BT5</f>
        <v>0</v>
      </c>
      <c r="H28" s="2882"/>
      <c r="I28" s="2882"/>
      <c r="J28" s="2882"/>
      <c r="K28" s="2882"/>
      <c r="L28" s="2882"/>
      <c r="M28" s="2882"/>
      <c r="N28" s="2882"/>
      <c r="O28" s="2882"/>
      <c r="P28" s="2882"/>
    </row>
    <row r="29" spans="1:19">
      <c r="A29" s="1855"/>
      <c r="B29" s="50" t="s">
        <v>1841</v>
      </c>
      <c r="C29" s="1859"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5"/>
      <c r="B30" s="50"/>
      <c r="C30" s="1860" t="s">
        <v>1840</v>
      </c>
      <c r="D30" s="1302">
        <f>SUM(D28:D29)</f>
        <v>44.7</v>
      </c>
      <c r="E30" s="1302">
        <f>SUM(E28:E29)</f>
        <v>281.96999999999997</v>
      </c>
      <c r="F30" s="1302">
        <f>SUM(F28:F29)</f>
        <v>281.96999999999997</v>
      </c>
      <c r="G30" s="1304">
        <f>SUM(G28:G29)</f>
        <v>0</v>
      </c>
      <c r="H30" s="2882"/>
      <c r="I30" s="2882"/>
      <c r="J30" s="2882"/>
      <c r="K30" s="2882"/>
      <c r="L30" s="2882"/>
      <c r="M30" s="2882"/>
      <c r="N30" s="2882"/>
      <c r="O30" s="2882"/>
      <c r="P30" s="2882"/>
    </row>
    <row r="31" spans="1:19" ht="15.75" thickBot="1">
      <c r="A31" s="1861"/>
      <c r="B31" s="1862"/>
      <c r="C31" s="944" t="s">
        <v>1844</v>
      </c>
      <c r="D31" s="685">
        <f>D27+D30</f>
        <v>6294.36</v>
      </c>
      <c r="E31" s="685">
        <f>E27+E30</f>
        <v>39707.960000000006</v>
      </c>
      <c r="F31" s="686">
        <f>F27+F30</f>
        <v>32488.930000000008</v>
      </c>
      <c r="G31" s="687">
        <f>G27+G30</f>
        <v>7219.03</v>
      </c>
      <c r="H31" s="2882"/>
      <c r="I31" s="2882"/>
      <c r="J31" s="2882"/>
      <c r="K31" s="2882"/>
      <c r="L31" s="2882"/>
      <c r="M31" s="2882"/>
      <c r="N31" s="2882"/>
      <c r="O31" s="2882"/>
      <c r="P31" s="2882"/>
    </row>
    <row r="32" spans="1:19">
      <c r="A32" s="1827"/>
      <c r="B32" s="1827" t="s">
        <v>1845</v>
      </c>
      <c r="C32" s="1827"/>
      <c r="D32" s="1827"/>
      <c r="E32" s="1184">
        <f>SUMIF(C19:C26,"*住宅*",E19:E26)</f>
        <v>0</v>
      </c>
      <c r="F32" s="1827"/>
      <c r="G32" s="1827"/>
      <c r="H32" s="2882"/>
      <c r="I32" s="2882"/>
      <c r="J32" s="2882"/>
      <c r="K32" s="2882"/>
      <c r="L32" s="2882"/>
      <c r="M32" s="2882"/>
      <c r="N32" s="2882"/>
      <c r="O32" s="2882"/>
      <c r="P32" s="2882"/>
    </row>
    <row r="33" spans="4:7">
      <c r="D33" s="1863"/>
    </row>
    <row r="39" spans="4:7">
      <c r="G39" s="1822" t="s">
        <v>3271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3" customFormat="1" ht="15.75" thickBot="1">
      <c r="A2" s="1868" t="s">
        <v>1847</v>
      </c>
      <c r="B2" s="1176">
        <f>项目基本情况!D3</f>
        <v>44515</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1"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3085</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办公</v>
      </c>
      <c r="B6" s="1898" t="str">
        <f>IF(A6=0,"","经营性")</f>
        <v>经营性</v>
      </c>
      <c r="C6" s="1899" t="s">
        <v>27</v>
      </c>
      <c r="D6" s="967">
        <f>SUMIF(项目基本情况!D$12:I$12,C6,项目基本情况!D$14:I$14)</f>
        <v>50</v>
      </c>
      <c r="E6" s="966">
        <f>IF(B6="","",SUMIF(项目基本情况!D$12:I$12,C6,项目基本情况!D$13:I$13))</f>
        <v>57017</v>
      </c>
      <c r="F6" s="68">
        <f>SUMIF(项目基本情况!D$12:I$12,C6,项目基本情况!D$15:I$15)</f>
        <v>34.25</v>
      </c>
      <c r="G6" s="69">
        <f>IF(ISERROR(ROUND(POWER(1+H6,D6-F6)*(POWER(1+H6,F6)-1)/(POWER(1+H6,D6)-1),3)),0,ROUND(POWER(1+H6,D6-F6)*(POWER(1+H6,F6)-1)/(POWER(1+H6,D6)-1),3))</f>
        <v>0.89</v>
      </c>
      <c r="H6" s="741">
        <v>0.05</v>
      </c>
      <c r="I6" s="741">
        <v>5.5E-2</v>
      </c>
      <c r="J6" s="70">
        <v>0.08</v>
      </c>
      <c r="K6" s="1161">
        <f>SUMIF('数据-汇总表'!C$19:C$33,A6,'数据-汇总表'!E$19:E$33)</f>
        <v>32206.960000000006</v>
      </c>
      <c r="L6" s="742">
        <v>4000</v>
      </c>
      <c r="M6" s="71">
        <f t="shared" ref="M6:M14" si="0">ROUND(K6*L6/10000,0)</f>
        <v>12883</v>
      </c>
      <c r="N6" s="740">
        <v>0.93</v>
      </c>
      <c r="O6" s="71" t="str">
        <f>IF($N$5="成新度","——",ROUND(M6*N6,0))</f>
        <v>——</v>
      </c>
      <c r="P6" s="72" t="str">
        <f>IF($N$5="成新度","——",M6-O6)</f>
        <v>——</v>
      </c>
      <c r="Q6" s="743">
        <v>0.2</v>
      </c>
      <c r="R6" s="73">
        <f ca="1">SUMIF('数据-汇总表'!C$19:C$33,A6,'数据-汇总表'!R$19:R$27)</f>
        <v>5141.84</v>
      </c>
      <c r="S6" s="54">
        <f>IF('数据-汇总表'!$I$17="按面积比例",SUMIF('数据-汇总表'!C$19:C$33,A6,'数据-汇总表'!K$19:K$33),SUMIF('数据-汇总表'!C$19:C$33,A6,'数据-汇总表'!N$19:N$33))</f>
        <v>230.34</v>
      </c>
      <c r="T6" s="1334">
        <f>ROUND($L$14*S6/10000,0)</f>
        <v>69</v>
      </c>
      <c r="U6" s="3443">
        <v>3.6</v>
      </c>
      <c r="V6" s="75">
        <v>0.03</v>
      </c>
      <c r="W6" s="75">
        <v>0.1</v>
      </c>
      <c r="X6" s="1171"/>
      <c r="Y6" s="76">
        <f>N6</f>
        <v>0.93</v>
      </c>
      <c r="Z6" s="77"/>
      <c r="AA6" s="70"/>
      <c r="AB6" s="70"/>
      <c r="AC6" s="1171"/>
      <c r="AD6" s="78"/>
      <c r="AE6" s="1172">
        <f ca="1">IF(AN6="",0,SUMIF(INDIRECT("'"&amp;AN6&amp;"'"&amp;"!E:E"),$AE$5,INDIRECT("'"&amp;AN6&amp;"'"&amp;"!F:F")))</f>
        <v>34.25</v>
      </c>
      <c r="AF6" s="1531"/>
      <c r="AG6" s="143">
        <f>IF(AF6="",0,AE6-AF6)</f>
        <v>0</v>
      </c>
      <c r="AH6" s="79"/>
      <c r="AI6" s="81">
        <v>365</v>
      </c>
      <c r="AJ6" s="82"/>
      <c r="AK6" s="83">
        <v>1.4999999999999999E-2</v>
      </c>
      <c r="AL6" s="84">
        <v>1.5E-3</v>
      </c>
      <c r="AM6" s="85">
        <v>1.4999999999999999E-2</v>
      </c>
      <c r="AN6" s="1900" t="s">
        <v>3090</v>
      </c>
      <c r="AO6" s="55">
        <f ca="1">SUMIF(INDIRECT("'"&amp;AN6&amp;"'"&amp;"!A:A"),"总价",INDIRECT("'"&amp;AN6&amp;"'"&amp;"!B:B"))</f>
        <v>62785</v>
      </c>
      <c r="AP6" s="1901">
        <f>IF(C6="住宅",K6*L6,0)</f>
        <v>0</v>
      </c>
      <c r="AQ6" s="55">
        <f>ROUND($L$14*$N$14*S6/10000,0)</f>
        <v>64</v>
      </c>
      <c r="AR6" s="55">
        <f>ROUND($L$14*(1-$N$14)*S6/10000,0)</f>
        <v>5</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地下车库</v>
      </c>
      <c r="B7" s="1898" t="str">
        <f t="shared" ref="B7:B13" si="1">IF(A7=0,"","经营性")</f>
        <v>经营性</v>
      </c>
      <c r="C7" s="1899" t="s">
        <v>3081</v>
      </c>
      <c r="D7" s="967">
        <f>SUMIF(项目基本情况!D$12:I$12,C7,项目基本情况!D$14:I$14)</f>
        <v>50</v>
      </c>
      <c r="E7" s="966">
        <f>IF(B7="","",SUMIF(项目基本情况!D$12:I$12,C7,项目基本情况!D$13:I$13))</f>
        <v>57017</v>
      </c>
      <c r="F7" s="68">
        <f>SUMIF(项目基本情况!D$12:I$12,C7,项目基本情况!D$15:I$15)</f>
        <v>34.25</v>
      </c>
      <c r="G7" s="69">
        <f t="shared" ref="G7:G11" si="2">IF(ISERROR(ROUND(POWER(1+H7,D7-F7)*(POWER(1+H7,F7)-1)/(POWER(1+H7,D7)-1),3)),0,ROUND(POWER(1+H7,D7-F7)*(POWER(1+H7,F7)-1)/(POWER(1+H7,D7)-1),3))</f>
        <v>0.875</v>
      </c>
      <c r="H7" s="741">
        <v>4.4999999999999998E-2</v>
      </c>
      <c r="I7" s="741">
        <v>0.05</v>
      </c>
      <c r="J7" s="70">
        <v>0.08</v>
      </c>
      <c r="K7" s="1161">
        <f>SUMIF('数据-汇总表'!C$19:C$33,A7,'数据-汇总表'!E$19:E$33)</f>
        <v>7219.03</v>
      </c>
      <c r="L7" s="742">
        <v>3000</v>
      </c>
      <c r="M7" s="71">
        <f t="shared" si="0"/>
        <v>2166</v>
      </c>
      <c r="N7" s="740">
        <v>0.93</v>
      </c>
      <c r="O7" s="71" t="str">
        <f t="shared" ref="O7:O14" si="3">IF($N$5="成新度","——",ROUND(M7*N7,0))</f>
        <v>——</v>
      </c>
      <c r="P7" s="72" t="str">
        <f t="shared" ref="P7:P14" si="4">IF($N$5="成新度","——",M7-O7)</f>
        <v>——</v>
      </c>
      <c r="Q7" s="743">
        <v>0.1</v>
      </c>
      <c r="R7" s="73">
        <f ca="1">SUMIF('数据-汇总表'!C$19:C$33,A7,'数据-汇总表'!R$19:R$27)</f>
        <v>1152.51</v>
      </c>
      <c r="S7" s="54">
        <f>IF('数据-汇总表'!$I$17="按面积比例",SUMIF('数据-汇总表'!C$19:C$33,A7,'数据-汇总表'!K$19:K$33),SUMIF('数据-汇总表'!C$19:C$33,A7,'数据-汇总表'!N$19:N$33))</f>
        <v>51.63</v>
      </c>
      <c r="T7" s="1334">
        <f t="shared" ref="T7:T13" si="5">ROUND($L$14*S7/10000,0)</f>
        <v>15</v>
      </c>
      <c r="U7" s="74">
        <v>500</v>
      </c>
      <c r="V7" s="75">
        <v>0.02</v>
      </c>
      <c r="W7" s="75">
        <v>0.1</v>
      </c>
      <c r="X7" s="1171"/>
      <c r="Y7" s="76">
        <f>N7</f>
        <v>0.93</v>
      </c>
      <c r="Z7" s="77"/>
      <c r="AA7" s="70"/>
      <c r="AB7" s="70"/>
      <c r="AC7" s="1171"/>
      <c r="AD7" s="78"/>
      <c r="AE7" s="1172">
        <f t="shared" ref="AE7:AE13" ca="1" si="6">IF(AN7="",0,SUMIF(INDIRECT("'"&amp;AN7&amp;"'"&amp;"!E:E"),$AE$5,INDIRECT("'"&amp;AN7&amp;"'"&amp;"!F:F")))</f>
        <v>34.25</v>
      </c>
      <c r="AF7" s="1531"/>
      <c r="AG7" s="143">
        <f t="shared" ref="AG7:AG13" si="7">IF(AF7="",0,AE7-AF7)</f>
        <v>0</v>
      </c>
      <c r="AH7" s="79">
        <v>126</v>
      </c>
      <c r="AI7" s="81">
        <v>12</v>
      </c>
      <c r="AJ7" s="82"/>
      <c r="AK7" s="83">
        <v>5.0000000000000001E-3</v>
      </c>
      <c r="AL7" s="84">
        <v>1.5E-3</v>
      </c>
      <c r="AM7" s="85">
        <v>0.01</v>
      </c>
      <c r="AN7" s="1900" t="s">
        <v>3096</v>
      </c>
      <c r="AO7" s="55">
        <f t="shared" ref="AO7:AO13" ca="1" si="8">SUMIF(INDIRECT("'"&amp;AN7&amp;"'"&amp;"!A:A"),"总价",INDIRECT("'"&amp;AN7&amp;"'"&amp;"!B:B"))</f>
        <v>755</v>
      </c>
      <c r="AP7" s="1901">
        <f t="shared" ref="AP7:AP13" si="9">IF(C7="住宅",K7*L7,0)</f>
        <v>0</v>
      </c>
      <c r="AQ7" s="55">
        <f t="shared" ref="AQ7:AQ13" si="10">ROUND($L$14*$N$14*S7/10000,0)</f>
        <v>14</v>
      </c>
      <c r="AR7" s="55">
        <f t="shared" ref="AR7:AR13" si="11">ROUND($L$14*(1-$N$14)*S7/10000,0)</f>
        <v>1</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281.96999999999997</v>
      </c>
      <c r="L14" s="87">
        <v>3000</v>
      </c>
      <c r="M14" s="71">
        <f t="shared" si="0"/>
        <v>85</v>
      </c>
      <c r="N14" s="88">
        <f>N7</f>
        <v>0.93</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0.88700000000000001</v>
      </c>
      <c r="H16" s="95">
        <f>ROUND(SUMPRODUCT(H6:H13,K6:K13)/SUMPRODUCT((H6:H13&gt;0)*(K6:K13)),3)</f>
        <v>4.9000000000000002E-2</v>
      </c>
      <c r="I16" s="96"/>
      <c r="J16" s="96"/>
      <c r="K16" s="97">
        <f>SUM(K6:K15)</f>
        <v>39707.960000000006</v>
      </c>
      <c r="L16" s="98">
        <f>ROUND(M16*10000/SUM(K6:K14),0)</f>
        <v>3811</v>
      </c>
      <c r="M16" s="98">
        <f>SUM(M6:M14)</f>
        <v>15134</v>
      </c>
      <c r="N16" s="99">
        <f>ROUND(SUMPRODUCT(M6:M14,N6:N14)/M16,3)</f>
        <v>0.93</v>
      </c>
      <c r="O16" s="98">
        <f>SUM(O6:O14)</f>
        <v>0</v>
      </c>
      <c r="P16" s="98">
        <f>SUM(P6:P14)</f>
        <v>0</v>
      </c>
      <c r="Q16" s="100">
        <f>ROUND(SUMPRODUCT(Q6:Q13,K6:K13)/SUMPRODUCT((Q6:Q13&gt;0)*(K6:K13)),2)</f>
        <v>0.18</v>
      </c>
      <c r="R16" s="1165">
        <f ca="1">SUM(R6:R13)</f>
        <v>6294.35</v>
      </c>
      <c r="S16" s="101">
        <f>SUM(S6:S13)</f>
        <v>281.97000000000003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1897</v>
      </c>
      <c r="B19" s="108">
        <v>0</v>
      </c>
      <c r="C19" s="3026" t="s">
        <v>3046</v>
      </c>
      <c r="D19" s="2901"/>
      <c r="E19" s="2898"/>
      <c r="F19" s="2898"/>
      <c r="G19" s="2898"/>
      <c r="H19" s="2898"/>
      <c r="I19" s="2898"/>
      <c r="J19" s="2898"/>
      <c r="K19" s="2897"/>
      <c r="L19" s="2897"/>
      <c r="M19" s="2896"/>
      <c r="N19" s="2896">
        <v>2017</v>
      </c>
      <c r="O19" s="2896">
        <f>2021-2017</f>
        <v>4</v>
      </c>
      <c r="P19" s="2896"/>
      <c r="Q19" s="2896"/>
      <c r="R19" s="2896"/>
      <c r="S19" s="2896"/>
      <c r="T19" s="2896"/>
      <c r="U19" s="2896"/>
      <c r="V19" s="2896">
        <f>3.5</f>
        <v>3.5</v>
      </c>
      <c r="W19" s="2896">
        <f>V19*1.02</f>
        <v>3.5700000000000003</v>
      </c>
      <c r="X19" s="2896"/>
      <c r="Y19" s="2896">
        <f>K7/AH7</f>
        <v>57.293888888888887</v>
      </c>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1898</v>
      </c>
      <c r="B20" s="109">
        <v>2</v>
      </c>
      <c r="C20" s="3027" t="s">
        <v>3044</v>
      </c>
      <c r="D20" s="2901"/>
      <c r="E20" s="2898"/>
      <c r="F20" s="2898"/>
      <c r="G20" s="2898"/>
      <c r="H20" s="2898"/>
      <c r="I20" s="2898"/>
      <c r="J20" s="2898"/>
      <c r="K20" s="2897"/>
      <c r="L20" s="2897"/>
      <c r="M20" s="2896"/>
      <c r="N20" s="2896"/>
      <c r="O20" s="2896">
        <f>56/60</f>
        <v>0.93333333333333335</v>
      </c>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1899</v>
      </c>
      <c r="B21" s="109">
        <v>2</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1900</v>
      </c>
      <c r="B22" s="110">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1901</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1903</v>
      </c>
      <c r="B26" s="1911"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1906</v>
      </c>
      <c r="B27" s="112">
        <v>160</v>
      </c>
      <c r="C27" s="3028" t="s">
        <v>3048</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 ca="1">成本法!C10</f>
        <v>794</v>
      </c>
      <c r="C29" s="3029" t="s">
        <v>3035</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0" t="s">
        <v>3036</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0" t="s">
        <v>3037</v>
      </c>
      <c r="D34" s="2909" t="s">
        <v>3045</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0" t="s">
        <v>3038</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0" t="s">
        <v>3039</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1916</v>
      </c>
      <c r="B37" s="120">
        <v>0.02</v>
      </c>
      <c r="C37" s="3030" t="s">
        <v>3040</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1917</v>
      </c>
      <c r="B38" s="118">
        <v>0.01</v>
      </c>
      <c r="C38" s="3030" t="s">
        <v>3040</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3095</v>
      </c>
      <c r="B40" s="1210">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1919</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1921</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1922</v>
      </c>
      <c r="B44" s="124">
        <v>7.0000000000000007E-2</v>
      </c>
      <c r="C44" s="3030" t="s">
        <v>3049</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1923</v>
      </c>
      <c r="B45" s="122">
        <v>0.03</v>
      </c>
      <c r="C45" s="3029" t="s">
        <v>3041</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1924</v>
      </c>
      <c r="B46" s="122">
        <v>0.02</v>
      </c>
      <c r="C46" s="3029" t="s">
        <v>3042</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1925</v>
      </c>
      <c r="B47" s="125"/>
      <c r="C47" s="3032" t="s">
        <v>3050</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1926</v>
      </c>
      <c r="B48" s="126">
        <v>0.03</v>
      </c>
      <c r="C48" s="3029" t="s">
        <v>3041</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1927</v>
      </c>
      <c r="B49" s="122">
        <v>5.0000000000000001E-4</v>
      </c>
      <c r="C49" s="3029" t="s">
        <v>3043</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1928</v>
      </c>
      <c r="B50" s="127">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1929</v>
      </c>
      <c r="B51" s="128">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1930</v>
      </c>
      <c r="B52" s="129">
        <f>SUMIF(A54:A63,B53,B54:B63)</f>
        <v>1.5</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1931</v>
      </c>
      <c r="B53" s="1923" t="s">
        <v>56</v>
      </c>
      <c r="C53" s="2884" t="s">
        <v>1932</v>
      </c>
      <c r="D53" s="3031" t="s">
        <v>3047</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4" t="s">
        <v>1933</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4" t="s">
        <v>1934</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4" t="s">
        <v>1935</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4" t="s">
        <v>1936</v>
      </c>
      <c r="B57" s="80"/>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4" t="s">
        <v>1937</v>
      </c>
      <c r="B58" s="80"/>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4" t="s">
        <v>1938</v>
      </c>
      <c r="B59" s="80">
        <v>1.5</v>
      </c>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4"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4"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4"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5"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9" sqref="F19"/>
    </sheetView>
  </sheetViews>
  <sheetFormatPr defaultColWidth="9" defaultRowHeight="14.25"/>
  <cols>
    <col min="1" max="1" width="9.5" style="1871" customWidth="1"/>
    <col min="2" max="2" width="24.5" style="1756" customWidth="1"/>
    <col min="3" max="3" width="24.5" style="2732" customWidth="1"/>
    <col min="4" max="4" width="2.625" style="2732" customWidth="1"/>
    <col min="5" max="5" width="5.875" style="2732" customWidth="1"/>
    <col min="6" max="6" width="27" style="1756"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7"/>
    <col min="30" max="16384" width="9" style="1871"/>
  </cols>
  <sheetData>
    <row r="1" spans="1:29" s="2682" customFormat="1" ht="18.75" thickBot="1">
      <c r="A1" s="3190" t="s">
        <v>3027</v>
      </c>
      <c r="B1" s="3191"/>
      <c r="C1" s="3191"/>
      <c r="D1" s="3191"/>
      <c r="E1" s="3191"/>
      <c r="F1" s="3191"/>
      <c r="G1" s="319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3023</v>
      </c>
      <c r="D2" s="2686"/>
      <c r="E2" s="2683"/>
      <c r="F2" s="2687"/>
      <c r="G2" s="2685" t="s">
        <v>3024</v>
      </c>
      <c r="H2" s="907"/>
      <c r="I2" s="907"/>
      <c r="J2" s="907"/>
      <c r="K2" s="907"/>
      <c r="L2" s="907"/>
      <c r="M2" s="907"/>
      <c r="N2" s="907"/>
      <c r="O2" s="907"/>
      <c r="P2" s="907"/>
      <c r="Q2" s="907"/>
      <c r="R2" s="907"/>
    </row>
    <row r="3" spans="1:29" ht="25.5">
      <c r="A3" s="2666" t="s">
        <v>3025</v>
      </c>
      <c r="B3" s="2688" t="s">
        <v>2997</v>
      </c>
      <c r="C3" s="3081"/>
      <c r="D3" s="2689"/>
      <c r="E3" s="2667" t="s">
        <v>3025</v>
      </c>
      <c r="F3" s="2690" t="s">
        <v>2998</v>
      </c>
      <c r="G3" s="2691" t="s">
        <v>3026</v>
      </c>
      <c r="H3" s="907"/>
      <c r="I3" s="907"/>
      <c r="J3" s="907"/>
      <c r="K3" s="907"/>
      <c r="L3" s="907"/>
      <c r="M3" s="907"/>
      <c r="N3" s="907"/>
      <c r="O3" s="907"/>
      <c r="P3" s="907"/>
      <c r="Q3" s="907"/>
      <c r="R3" s="907"/>
    </row>
    <row r="4" spans="1:29" ht="36">
      <c r="A4" s="2667"/>
      <c r="B4" s="329" t="s">
        <v>2999</v>
      </c>
      <c r="C4" s="3082"/>
      <c r="D4" s="2689"/>
      <c r="E4" s="2692"/>
      <c r="F4" s="1556" t="s">
        <v>3000</v>
      </c>
      <c r="G4" s="2693" t="s">
        <v>3001</v>
      </c>
      <c r="H4" s="907"/>
      <c r="I4" s="907"/>
      <c r="J4" s="907"/>
      <c r="K4" s="907"/>
      <c r="L4" s="907"/>
      <c r="M4" s="907"/>
      <c r="N4" s="907"/>
      <c r="O4" s="907"/>
      <c r="P4" s="907"/>
      <c r="Q4" s="907"/>
      <c r="R4" s="907"/>
    </row>
    <row r="5" spans="1:29" ht="24">
      <c r="A5" s="2667"/>
      <c r="B5" s="329" t="s">
        <v>3002</v>
      </c>
      <c r="C5" s="3083" t="s">
        <v>3113</v>
      </c>
      <c r="D5" s="2689"/>
      <c r="E5" s="2692"/>
      <c r="F5" s="329" t="s">
        <v>3003</v>
      </c>
      <c r="G5" s="2693" t="s">
        <v>3004</v>
      </c>
      <c r="H5" s="907"/>
      <c r="I5" s="907"/>
      <c r="J5" s="907"/>
      <c r="K5" s="907"/>
      <c r="L5" s="907"/>
      <c r="M5" s="907"/>
      <c r="N5" s="907"/>
      <c r="O5" s="907"/>
      <c r="P5" s="907"/>
      <c r="Q5" s="907"/>
      <c r="R5" s="907"/>
    </row>
    <row r="6" spans="1:29">
      <c r="A6" s="2667"/>
      <c r="B6" s="329" t="s">
        <v>3005</v>
      </c>
      <c r="C6" s="3084" t="s">
        <v>3114</v>
      </c>
      <c r="D6" s="2689"/>
      <c r="E6" s="2692"/>
      <c r="F6" s="329" t="s">
        <v>3006</v>
      </c>
      <c r="G6" s="2693" t="s">
        <v>3007</v>
      </c>
      <c r="H6" s="907"/>
      <c r="I6" s="907"/>
      <c r="J6" s="907"/>
      <c r="K6" s="907"/>
      <c r="L6" s="907"/>
      <c r="M6" s="907"/>
      <c r="N6" s="907"/>
      <c r="O6" s="907"/>
      <c r="P6" s="907"/>
      <c r="Q6" s="907"/>
      <c r="R6" s="907"/>
    </row>
    <row r="7" spans="1:29" ht="24.75" thickBot="1">
      <c r="A7" s="2667"/>
      <c r="B7" s="329" t="s">
        <v>3003</v>
      </c>
      <c r="C7" s="3084" t="s">
        <v>3114</v>
      </c>
      <c r="D7" s="2694"/>
      <c r="E7" s="2695"/>
      <c r="F7" s="2696" t="s">
        <v>3008</v>
      </c>
      <c r="G7" s="2697" t="s">
        <v>3009</v>
      </c>
      <c r="H7" s="907"/>
      <c r="I7" s="907"/>
      <c r="J7" s="907"/>
      <c r="K7" s="907"/>
      <c r="L7" s="907"/>
      <c r="M7" s="907"/>
      <c r="N7" s="907"/>
      <c r="O7" s="907"/>
      <c r="P7" s="907"/>
      <c r="Q7" s="907"/>
      <c r="R7" s="907"/>
    </row>
    <row r="8" spans="1:29">
      <c r="A8" s="2667"/>
      <c r="B8" s="329" t="s">
        <v>3006</v>
      </c>
      <c r="C8" s="3084" t="s">
        <v>3245</v>
      </c>
      <c r="D8" s="2694"/>
      <c r="E8" s="2694"/>
      <c r="F8" s="2698"/>
      <c r="G8" s="2698"/>
      <c r="H8" s="907"/>
      <c r="I8" s="907"/>
      <c r="J8" s="907"/>
      <c r="K8" s="907"/>
      <c r="L8" s="907"/>
      <c r="M8" s="907"/>
      <c r="N8" s="907"/>
      <c r="O8" s="907"/>
      <c r="P8" s="907"/>
      <c r="Q8" s="907"/>
      <c r="R8" s="907"/>
    </row>
    <row r="9" spans="1:29">
      <c r="A9" s="2667"/>
      <c r="B9" s="329" t="s">
        <v>3010</v>
      </c>
      <c r="C9" s="3083" t="s">
        <v>3113</v>
      </c>
      <c r="D9" s="2689"/>
      <c r="E9" s="2694"/>
      <c r="F9" s="2698"/>
      <c r="G9" s="2698"/>
      <c r="H9" s="907"/>
      <c r="I9" s="907"/>
      <c r="J9" s="907"/>
      <c r="K9" s="907"/>
      <c r="L9" s="907"/>
      <c r="M9" s="907"/>
      <c r="N9" s="907"/>
      <c r="O9" s="907"/>
      <c r="P9" s="907"/>
      <c r="Q9" s="907"/>
      <c r="R9" s="907"/>
    </row>
    <row r="10" spans="1:29" s="2703" customFormat="1" ht="15" thickBot="1">
      <c r="A10" s="2668"/>
      <c r="B10" s="2699" t="s">
        <v>3011</v>
      </c>
      <c r="C10" s="3085" t="s">
        <v>3113</v>
      </c>
      <c r="D10" s="2689"/>
      <c r="E10" s="2689"/>
      <c r="F10" s="2698"/>
      <c r="G10" s="2698"/>
      <c r="H10" s="2700"/>
      <c r="I10" s="2701"/>
      <c r="J10" s="2702"/>
      <c r="K10" s="2700"/>
      <c r="L10" s="2701"/>
      <c r="M10" s="2702"/>
      <c r="N10" s="2700"/>
      <c r="O10" s="2701"/>
      <c r="P10" s="2702"/>
      <c r="Q10" s="2700"/>
      <c r="R10" s="2701"/>
      <c r="S10" s="907"/>
      <c r="T10" s="907"/>
      <c r="U10" s="907"/>
      <c r="V10" s="907"/>
      <c r="W10" s="907"/>
      <c r="X10" s="907"/>
      <c r="Y10" s="907"/>
      <c r="Z10" s="907"/>
      <c r="AA10" s="907"/>
      <c r="AB10" s="907"/>
      <c r="AC10" s="907"/>
    </row>
    <row r="11" spans="1:29" s="2703" customFormat="1">
      <c r="A11" s="2704"/>
      <c r="B11" s="2694"/>
      <c r="C11" s="2689"/>
      <c r="D11" s="2689"/>
      <c r="E11" s="2689"/>
      <c r="F11" s="2694"/>
      <c r="G11" s="2705"/>
      <c r="H11" s="2700"/>
      <c r="I11" s="2701"/>
      <c r="J11" s="2702"/>
      <c r="K11" s="2700"/>
      <c r="L11" s="2701"/>
      <c r="M11" s="2702"/>
      <c r="N11" s="2700"/>
      <c r="O11" s="2701"/>
      <c r="P11" s="2702"/>
      <c r="Q11" s="2700"/>
      <c r="R11" s="2701"/>
      <c r="S11" s="907"/>
      <c r="T11" s="907"/>
      <c r="U11" s="907"/>
      <c r="V11" s="907"/>
      <c r="W11" s="907"/>
      <c r="X11" s="907"/>
      <c r="Y11" s="907"/>
      <c r="Z11" s="907"/>
      <c r="AA11" s="907"/>
      <c r="AB11" s="907"/>
      <c r="AC11" s="907"/>
    </row>
    <row r="12" spans="1:29" s="2682" customFormat="1" ht="18">
      <c r="A12" s="2704"/>
      <c r="B12" s="2694"/>
      <c r="C12" s="2689"/>
      <c r="D12" s="2706"/>
      <c r="E12" s="2689"/>
      <c r="F12" s="2694"/>
      <c r="G12" s="2705"/>
      <c r="H12" s="2707"/>
      <c r="I12" s="2708"/>
      <c r="J12" s="2707"/>
      <c r="K12" s="2707"/>
      <c r="L12" s="2709"/>
      <c r="M12" s="2707"/>
      <c r="N12" s="2710"/>
      <c r="O12" s="2711"/>
      <c r="P12" s="2710"/>
      <c r="Q12" s="2710"/>
      <c r="R12" s="2680"/>
      <c r="S12" s="2681"/>
      <c r="T12" s="2681"/>
      <c r="U12" s="2681"/>
      <c r="V12" s="2681"/>
      <c r="W12" s="2681"/>
      <c r="X12" s="2681"/>
      <c r="Y12" s="2681"/>
      <c r="Z12" s="2681"/>
      <c r="AA12" s="2681"/>
      <c r="AB12" s="2681"/>
      <c r="AC12" s="2681"/>
    </row>
    <row r="13" spans="1:29" ht="15.75" thickBot="1">
      <c r="A13" s="2712" t="s">
        <v>3028</v>
      </c>
      <c r="B13" s="2706"/>
      <c r="C13" s="2706"/>
      <c r="D13" s="2704"/>
      <c r="E13" s="2706"/>
      <c r="F13" s="2706"/>
      <c r="G13" s="2706"/>
    </row>
    <row r="14" spans="1:29" ht="15" thickBot="1">
      <c r="A14" s="2716"/>
      <c r="B14" s="2716"/>
      <c r="C14" s="2717" t="s">
        <v>3012</v>
      </c>
      <c r="D14" s="2689"/>
      <c r="E14" s="2718"/>
      <c r="F14" s="2718"/>
      <c r="G14" s="2685" t="s">
        <v>3013</v>
      </c>
    </row>
    <row r="15" spans="1:29" ht="25.5">
      <c r="A15" s="2669" t="s">
        <v>3014</v>
      </c>
      <c r="B15" s="2719" t="s">
        <v>2997</v>
      </c>
      <c r="C15" s="2720">
        <f>C3</f>
        <v>0</v>
      </c>
      <c r="D15" s="2689"/>
      <c r="E15" s="2670" t="s">
        <v>3015</v>
      </c>
      <c r="F15" s="2719" t="s">
        <v>3016</v>
      </c>
      <c r="G15" s="2721" t="str">
        <f>G3</f>
        <v>估价对象位于XX开发区，园区建设成熟度XX，产业集聚程度XX</v>
      </c>
    </row>
    <row r="16" spans="1:29" ht="38.25">
      <c r="A16" s="2671"/>
      <c r="B16" s="2722" t="s">
        <v>2999</v>
      </c>
      <c r="C16" s="2723">
        <f>C4</f>
        <v>0</v>
      </c>
      <c r="D16" s="2689"/>
      <c r="E16" s="2672"/>
      <c r="F16" s="2724" t="s">
        <v>3000</v>
      </c>
      <c r="G16" s="2725" t="str">
        <f>G4</f>
        <v>估价对象周边道路状况、公共交通通达情况、停车便捷程度，综合评价交通便捷度较好</v>
      </c>
    </row>
    <row r="17" spans="1:18">
      <c r="A17" s="2671"/>
      <c r="B17" s="2722" t="s">
        <v>3002</v>
      </c>
      <c r="C17" s="2723" t="str">
        <f>C5</f>
        <v>一般</v>
      </c>
      <c r="D17" s="2694"/>
      <c r="E17" s="2672"/>
      <c r="F17" s="2724" t="s">
        <v>3017</v>
      </c>
      <c r="G17" s="2726"/>
    </row>
    <row r="18" spans="1:18" ht="25.5">
      <c r="A18" s="2671"/>
      <c r="B18" s="2724" t="s">
        <v>3005</v>
      </c>
      <c r="C18" s="2725" t="str">
        <f>C6</f>
        <v>较好</v>
      </c>
      <c r="D18" s="2694"/>
      <c r="E18" s="2672"/>
      <c r="F18" s="2724" t="s">
        <v>3008</v>
      </c>
      <c r="G18" s="2725" t="str">
        <f>G7</f>
        <v>该园区内是否有污染型企业，绿化情况，卫生条件，整体环境状况判断</v>
      </c>
    </row>
    <row r="19" spans="1:18" ht="25.5">
      <c r="A19" s="2671"/>
      <c r="B19" s="2724" t="s">
        <v>3018</v>
      </c>
      <c r="C19" s="2726"/>
      <c r="D19" s="2689"/>
      <c r="E19" s="2672"/>
      <c r="F19" s="329" t="s">
        <v>3003</v>
      </c>
      <c r="G19" s="2725" t="str">
        <f>G5</f>
        <v>估价对象所在区域公共配套设施齐备情况</v>
      </c>
    </row>
    <row r="20" spans="1:18">
      <c r="A20" s="2671"/>
      <c r="B20" s="2724" t="s">
        <v>3019</v>
      </c>
      <c r="C20" s="2723" t="str">
        <f>C9</f>
        <v>一般</v>
      </c>
      <c r="D20" s="2694"/>
      <c r="E20" s="2672"/>
      <c r="F20" s="329" t="s">
        <v>3006</v>
      </c>
      <c r="G20" s="2725" t="str">
        <f>G6</f>
        <v>估价对象所在区域基础设施水平</v>
      </c>
    </row>
    <row r="21" spans="1:18">
      <c r="A21" s="2671"/>
      <c r="B21" s="329" t="s">
        <v>3003</v>
      </c>
      <c r="C21" s="2725" t="str">
        <f>C7</f>
        <v>较好</v>
      </c>
      <c r="D21" s="2689"/>
      <c r="E21" s="2672"/>
      <c r="F21" s="2724" t="s">
        <v>3020</v>
      </c>
      <c r="G21" s="2727"/>
    </row>
    <row r="22" spans="1:18" ht="13.5" customHeight="1">
      <c r="A22" s="2671"/>
      <c r="B22" s="329" t="s">
        <v>3006</v>
      </c>
      <c r="C22" s="2725" t="str">
        <f>C8</f>
        <v>七通</v>
      </c>
      <c r="D22" s="2689"/>
      <c r="E22" s="2672"/>
      <c r="F22" s="2724" t="s">
        <v>3011</v>
      </c>
      <c r="G22" s="2726"/>
    </row>
    <row r="23" spans="1:18" s="907" customFormat="1" ht="15" thickBot="1">
      <c r="A23" s="2671"/>
      <c r="B23" s="2724" t="s">
        <v>3020</v>
      </c>
      <c r="C23" s="2727" t="s">
        <v>3246</v>
      </c>
      <c r="D23" s="1926"/>
      <c r="E23" s="2673"/>
      <c r="F23" s="2728" t="s">
        <v>3021</v>
      </c>
      <c r="G23" s="2729"/>
      <c r="H23" s="2713"/>
      <c r="I23" s="2714"/>
      <c r="J23" s="2713"/>
      <c r="K23" s="2713"/>
      <c r="L23" s="2714"/>
      <c r="M23" s="2713"/>
      <c r="N23" s="2713"/>
      <c r="O23" s="2714"/>
      <c r="P23" s="2713"/>
      <c r="Q23" s="2713"/>
      <c r="R23" s="2715"/>
    </row>
    <row r="24" spans="1:18" s="907" customFormat="1" ht="15" thickBot="1">
      <c r="A24" s="2674"/>
      <c r="B24" s="2728" t="s">
        <v>3022</v>
      </c>
      <c r="C24" s="2730" t="str">
        <f>C10</f>
        <v>一般</v>
      </c>
      <c r="D24" s="1926"/>
      <c r="E24" s="2664"/>
      <c r="F24" s="2664"/>
      <c r="G24" s="2731"/>
      <c r="H24" s="2713"/>
      <c r="I24" s="2714"/>
      <c r="J24" s="2713"/>
      <c r="K24" s="2713"/>
      <c r="L24" s="2714"/>
      <c r="M24" s="2713"/>
      <c r="N24" s="2713"/>
      <c r="O24" s="2714"/>
      <c r="P24" s="2713"/>
      <c r="Q24" s="2713"/>
      <c r="R24" s="2715"/>
    </row>
    <row r="25" spans="1:18" s="907" customFormat="1">
      <c r="B25" s="2713"/>
      <c r="C25" s="2713"/>
      <c r="D25" s="2713"/>
      <c r="H25" s="2713"/>
      <c r="I25" s="2714"/>
      <c r="J25" s="2713"/>
      <c r="K25" s="2713"/>
      <c r="L25" s="2714"/>
      <c r="M25" s="2713"/>
      <c r="N25" s="2713"/>
      <c r="O25" s="2714"/>
      <c r="P25" s="2713"/>
      <c r="Q25" s="2713"/>
      <c r="R25" s="2715"/>
    </row>
    <row r="26" spans="1:18" s="907" customFormat="1">
      <c r="B26" s="2713"/>
      <c r="C26" s="2713"/>
      <c r="D26" s="2713"/>
      <c r="H26" s="2713"/>
      <c r="I26" s="2714"/>
      <c r="J26" s="2713"/>
      <c r="K26" s="2713"/>
      <c r="L26" s="2714"/>
      <c r="M26" s="2713"/>
      <c r="N26" s="2713"/>
      <c r="O26" s="2714"/>
      <c r="P26" s="2713"/>
      <c r="Q26" s="2713"/>
      <c r="R26" s="2715"/>
    </row>
    <row r="27" spans="1:18" s="907" customFormat="1">
      <c r="B27" s="2713"/>
      <c r="C27" s="2713"/>
      <c r="D27" s="2713"/>
      <c r="H27" s="2713"/>
      <c r="I27" s="2714"/>
      <c r="J27" s="2713"/>
      <c r="K27" s="2713"/>
      <c r="L27" s="2714"/>
      <c r="M27" s="2713"/>
      <c r="N27" s="2713"/>
      <c r="O27" s="2714"/>
      <c r="P27" s="2713"/>
      <c r="Q27" s="2713"/>
      <c r="R27" s="2715"/>
    </row>
    <row r="28" spans="1:18" s="907" customFormat="1">
      <c r="B28" s="2713"/>
      <c r="C28" s="2713"/>
      <c r="D28" s="2713"/>
      <c r="H28" s="2713"/>
      <c r="I28" s="2714"/>
      <c r="J28" s="2713"/>
      <c r="K28" s="2713"/>
      <c r="L28" s="2714"/>
      <c r="M28" s="2713"/>
      <c r="N28" s="2713"/>
      <c r="O28" s="2714"/>
      <c r="P28" s="2713"/>
      <c r="Q28" s="2713"/>
      <c r="R28" s="2715"/>
    </row>
    <row r="29" spans="1:18" s="907" customFormat="1">
      <c r="B29" s="2713"/>
      <c r="C29" s="2713"/>
      <c r="D29" s="2713"/>
      <c r="H29" s="2713"/>
      <c r="I29" s="2714"/>
      <c r="J29" s="2713"/>
      <c r="K29" s="2713"/>
      <c r="L29" s="2714"/>
      <c r="M29" s="2713"/>
      <c r="N29" s="2713"/>
      <c r="O29" s="2714"/>
      <c r="P29" s="2713"/>
      <c r="Q29" s="2713"/>
      <c r="R29" s="2715"/>
    </row>
    <row r="30" spans="1:18" s="907" customFormat="1">
      <c r="B30" s="2713"/>
      <c r="C30" s="2713"/>
      <c r="D30" s="2713"/>
      <c r="H30" s="2713"/>
      <c r="I30" s="2714"/>
      <c r="J30" s="2713"/>
      <c r="K30" s="2713"/>
      <c r="L30" s="2714"/>
      <c r="M30" s="2713"/>
      <c r="N30" s="2713"/>
      <c r="O30" s="2714"/>
      <c r="P30" s="2713"/>
      <c r="Q30" s="2713"/>
      <c r="R30" s="2715"/>
    </row>
    <row r="31" spans="1:18" s="907" customFormat="1">
      <c r="B31" s="2713"/>
      <c r="C31" s="2713"/>
      <c r="D31" s="2713"/>
      <c r="H31" s="2713"/>
      <c r="I31" s="2714"/>
      <c r="J31" s="2713"/>
      <c r="K31" s="2713"/>
      <c r="L31" s="2714"/>
      <c r="M31" s="2713"/>
      <c r="N31" s="2713"/>
      <c r="O31" s="2714"/>
      <c r="P31" s="2713"/>
      <c r="Q31" s="2713"/>
      <c r="R31" s="2715"/>
    </row>
    <row r="32" spans="1:18" s="907" customFormat="1">
      <c r="B32" s="2713"/>
      <c r="C32" s="2713"/>
      <c r="D32" s="2713"/>
      <c r="H32" s="2713"/>
      <c r="I32" s="2714"/>
      <c r="J32" s="2713"/>
      <c r="K32" s="2713"/>
      <c r="L32" s="2714"/>
      <c r="M32" s="2713"/>
      <c r="N32" s="2713"/>
      <c r="O32" s="2714"/>
      <c r="P32" s="2713"/>
      <c r="Q32" s="2713"/>
      <c r="R32" s="2715"/>
    </row>
    <row r="33" spans="2:18" s="907" customFormat="1">
      <c r="B33" s="2713"/>
      <c r="C33" s="2713"/>
      <c r="D33" s="2713"/>
      <c r="H33" s="2713"/>
      <c r="I33" s="2714"/>
      <c r="J33" s="2713"/>
      <c r="K33" s="2713"/>
      <c r="L33" s="2714"/>
      <c r="M33" s="2713"/>
      <c r="N33" s="2713"/>
      <c r="O33" s="2714"/>
      <c r="P33" s="2713"/>
      <c r="Q33" s="2713"/>
      <c r="R33" s="2715"/>
    </row>
    <row r="34" spans="2:18" s="907" customFormat="1">
      <c r="B34" s="2713"/>
      <c r="C34" s="2713"/>
      <c r="D34" s="2713"/>
      <c r="H34" s="2713"/>
      <c r="I34" s="2714"/>
      <c r="J34" s="2713"/>
      <c r="K34" s="2713"/>
      <c r="L34" s="2714"/>
      <c r="M34" s="2713"/>
      <c r="N34" s="2713"/>
      <c r="O34" s="2714"/>
      <c r="P34" s="2713"/>
      <c r="Q34" s="2713"/>
      <c r="R34" s="2715"/>
    </row>
    <row r="35" spans="2:18" s="907" customFormat="1">
      <c r="B35" s="2713"/>
      <c r="C35" s="2713"/>
      <c r="D35" s="2713"/>
      <c r="H35" s="2713"/>
      <c r="I35" s="2714"/>
      <c r="J35" s="2713"/>
      <c r="K35" s="2713"/>
      <c r="L35" s="2714"/>
      <c r="M35" s="2713"/>
      <c r="N35" s="2713"/>
      <c r="O35" s="2714"/>
      <c r="P35" s="2713"/>
      <c r="Q35" s="2713"/>
      <c r="R35" s="2715"/>
    </row>
    <row r="36" spans="2:18" s="907" customFormat="1">
      <c r="B36" s="2713"/>
      <c r="C36" s="2713"/>
      <c r="D36" s="2713"/>
      <c r="H36" s="2713"/>
      <c r="I36" s="2714"/>
      <c r="J36" s="2713"/>
      <c r="K36" s="2713"/>
      <c r="L36" s="2714"/>
      <c r="M36" s="2713"/>
      <c r="N36" s="2713"/>
      <c r="O36" s="2714"/>
      <c r="P36" s="2713"/>
      <c r="Q36" s="2713"/>
      <c r="R36" s="2715"/>
    </row>
    <row r="37" spans="2:18" s="907" customFormat="1">
      <c r="B37" s="2713"/>
      <c r="C37" s="2713"/>
      <c r="D37" s="2713"/>
      <c r="H37" s="2713"/>
      <c r="I37" s="2714"/>
      <c r="J37" s="2713"/>
      <c r="K37" s="2713"/>
      <c r="L37" s="2714"/>
      <c r="M37" s="2713"/>
      <c r="N37" s="2713"/>
      <c r="O37" s="2714"/>
      <c r="P37" s="2713"/>
      <c r="Q37" s="2713"/>
      <c r="R37" s="2715"/>
    </row>
    <row r="38" spans="2:18" s="907" customFormat="1">
      <c r="B38" s="2713"/>
      <c r="C38" s="2713"/>
      <c r="D38" s="2713"/>
      <c r="E38" s="2713"/>
      <c r="F38" s="2713"/>
      <c r="G38" s="2714"/>
      <c r="H38" s="2713"/>
      <c r="I38" s="2714"/>
      <c r="J38" s="2713"/>
      <c r="K38" s="2713"/>
      <c r="L38" s="2714"/>
      <c r="M38" s="2713"/>
      <c r="N38" s="2713"/>
      <c r="O38" s="2714"/>
      <c r="P38" s="2713"/>
      <c r="Q38" s="2713"/>
      <c r="R38" s="2715"/>
    </row>
    <row r="39" spans="2:18" s="907" customFormat="1">
      <c r="B39" s="2713"/>
      <c r="C39" s="2713"/>
      <c r="D39" s="2713"/>
      <c r="E39" s="2713"/>
      <c r="F39" s="2713"/>
      <c r="G39" s="2714"/>
      <c r="H39" s="2713"/>
      <c r="I39" s="2714"/>
      <c r="J39" s="2713"/>
      <c r="K39" s="2713"/>
      <c r="L39" s="2714"/>
      <c r="M39" s="2713"/>
      <c r="N39" s="2713"/>
      <c r="O39" s="2714"/>
      <c r="P39" s="2713"/>
      <c r="Q39" s="2713"/>
      <c r="R39" s="2715"/>
    </row>
    <row r="40" spans="2:18" s="907" customFormat="1">
      <c r="B40" s="2713"/>
      <c r="C40" s="2713"/>
      <c r="D40" s="2713"/>
      <c r="E40" s="2713"/>
      <c r="F40" s="2713"/>
      <c r="G40" s="2714"/>
      <c r="H40" s="2713"/>
      <c r="I40" s="2714"/>
      <c r="J40" s="2713"/>
      <c r="K40" s="2713"/>
      <c r="L40" s="2714"/>
      <c r="M40" s="2713"/>
      <c r="N40" s="2713"/>
      <c r="O40" s="2714"/>
      <c r="P40" s="2713"/>
      <c r="Q40" s="2713"/>
      <c r="R40" s="2715"/>
    </row>
    <row r="41" spans="2:18" s="907" customFormat="1">
      <c r="B41" s="2713"/>
      <c r="C41" s="2713"/>
      <c r="D41" s="2713"/>
      <c r="E41" s="2713"/>
      <c r="F41" s="2713"/>
      <c r="G41" s="2714"/>
      <c r="H41" s="2713"/>
      <c r="I41" s="2714"/>
      <c r="J41" s="2713"/>
      <c r="K41" s="2713"/>
      <c r="L41" s="2714"/>
      <c r="M41" s="2713"/>
      <c r="N41" s="2713"/>
      <c r="O41" s="2714"/>
      <c r="P41" s="2713"/>
      <c r="Q41" s="2713"/>
      <c r="R41" s="2715"/>
    </row>
    <row r="42" spans="2:18" s="907" customFormat="1">
      <c r="B42" s="2713"/>
      <c r="C42" s="2713"/>
      <c r="D42" s="2713"/>
      <c r="E42" s="2713"/>
      <c r="F42" s="2713"/>
      <c r="G42" s="2714"/>
      <c r="H42" s="2713"/>
      <c r="I42" s="2714"/>
      <c r="J42" s="2713"/>
      <c r="K42" s="2713"/>
      <c r="L42" s="2714"/>
      <c r="M42" s="2713"/>
      <c r="N42" s="2713"/>
      <c r="O42" s="2714"/>
      <c r="P42" s="2713"/>
      <c r="Q42" s="2713"/>
      <c r="R42" s="2715"/>
    </row>
    <row r="43" spans="2:18" s="907" customFormat="1">
      <c r="B43" s="2713"/>
      <c r="C43" s="2713"/>
      <c r="D43" s="2713"/>
      <c r="E43" s="2713"/>
      <c r="F43" s="2713"/>
      <c r="G43" s="2714"/>
      <c r="H43" s="2713"/>
      <c r="I43" s="2714"/>
      <c r="J43" s="2713"/>
      <c r="K43" s="2713"/>
      <c r="L43" s="2714"/>
      <c r="M43" s="2713"/>
      <c r="N43" s="2713"/>
      <c r="O43" s="2714"/>
      <c r="P43" s="2713"/>
      <c r="Q43" s="2713"/>
      <c r="R43" s="2715"/>
    </row>
    <row r="44" spans="2:18" s="907" customFormat="1">
      <c r="B44" s="2713"/>
      <c r="C44" s="2713"/>
      <c r="D44" s="2713"/>
      <c r="E44" s="2713"/>
      <c r="F44" s="2713"/>
      <c r="G44" s="2714"/>
      <c r="H44" s="2713"/>
      <c r="I44" s="2714"/>
      <c r="J44" s="2713"/>
      <c r="K44" s="2713"/>
      <c r="L44" s="2714"/>
      <c r="M44" s="2713"/>
      <c r="N44" s="2713"/>
      <c r="O44" s="2714"/>
      <c r="P44" s="2713"/>
      <c r="Q44" s="2713"/>
      <c r="R44" s="2715"/>
    </row>
    <row r="45" spans="2:18" s="907" customFormat="1">
      <c r="B45" s="2713"/>
      <c r="C45" s="2713"/>
      <c r="D45" s="2713"/>
      <c r="E45" s="2713"/>
      <c r="F45" s="2713"/>
      <c r="G45" s="2714"/>
      <c r="H45" s="2713"/>
      <c r="I45" s="2714"/>
      <c r="J45" s="2713"/>
      <c r="K45" s="2713"/>
      <c r="L45" s="2714"/>
      <c r="M45" s="2713"/>
      <c r="N45" s="2713"/>
      <c r="O45" s="2714"/>
      <c r="P45" s="2713"/>
      <c r="Q45" s="2713"/>
      <c r="R45" s="2715"/>
    </row>
    <row r="46" spans="2:18" s="907" customFormat="1">
      <c r="B46" s="2713"/>
      <c r="C46" s="2713"/>
      <c r="D46" s="2713"/>
      <c r="E46" s="2713"/>
      <c r="F46" s="2713"/>
      <c r="G46" s="2714"/>
      <c r="H46" s="2713"/>
      <c r="I46" s="2714"/>
      <c r="J46" s="2713"/>
      <c r="K46" s="2713"/>
      <c r="L46" s="2714"/>
      <c r="M46" s="2713"/>
      <c r="N46" s="2713"/>
      <c r="O46" s="2714"/>
      <c r="P46" s="2713"/>
      <c r="Q46" s="2713"/>
      <c r="R46" s="2715"/>
    </row>
    <row r="47" spans="2:18" s="907" customFormat="1">
      <c r="B47" s="2713"/>
      <c r="C47" s="2713"/>
      <c r="D47" s="2713"/>
      <c r="E47" s="2713"/>
      <c r="F47" s="2713"/>
      <c r="G47" s="2714"/>
      <c r="H47" s="2713"/>
      <c r="I47" s="2714"/>
      <c r="J47" s="2713"/>
      <c r="K47" s="2713"/>
      <c r="L47" s="2714"/>
      <c r="M47" s="2713"/>
      <c r="N47" s="2713"/>
      <c r="O47" s="2714"/>
      <c r="P47" s="2713"/>
      <c r="Q47" s="2713"/>
      <c r="R47" s="2715"/>
    </row>
    <row r="48" spans="2:18" s="907" customFormat="1">
      <c r="B48" s="2713"/>
      <c r="C48" s="2713"/>
      <c r="D48" s="2713"/>
      <c r="E48" s="2713"/>
      <c r="F48" s="2713"/>
      <c r="G48" s="2714"/>
      <c r="H48" s="2713"/>
      <c r="I48" s="2714"/>
      <c r="J48" s="2713"/>
      <c r="K48" s="2713"/>
      <c r="L48" s="2714"/>
      <c r="M48" s="2713"/>
      <c r="N48" s="2713"/>
      <c r="O48" s="2714"/>
      <c r="P48" s="2713"/>
      <c r="Q48" s="2713"/>
      <c r="R48" s="2715"/>
    </row>
    <row r="49" spans="2:18" s="907" customFormat="1">
      <c r="B49" s="2713"/>
      <c r="C49" s="2713"/>
      <c r="D49" s="2713"/>
      <c r="E49" s="2713"/>
      <c r="F49" s="2713"/>
      <c r="G49" s="2714"/>
      <c r="H49" s="2713"/>
      <c r="I49" s="2714"/>
      <c r="J49" s="2713"/>
      <c r="K49" s="2713"/>
      <c r="L49" s="2714"/>
      <c r="M49" s="2713"/>
      <c r="N49" s="2713"/>
      <c r="O49" s="2714"/>
      <c r="P49" s="2713"/>
      <c r="Q49" s="2713"/>
      <c r="R49" s="2715"/>
    </row>
    <row r="50" spans="2:18" s="907" customFormat="1">
      <c r="B50" s="2713"/>
      <c r="C50" s="2713"/>
      <c r="D50" s="2713"/>
      <c r="E50" s="2713"/>
      <c r="F50" s="2713"/>
      <c r="G50" s="2714"/>
      <c r="H50" s="2713"/>
      <c r="I50" s="2714"/>
      <c r="J50" s="2713"/>
      <c r="K50" s="2713"/>
      <c r="L50" s="2714"/>
      <c r="M50" s="2713"/>
      <c r="N50" s="2713"/>
      <c r="O50" s="2714"/>
      <c r="P50" s="2713"/>
      <c r="Q50" s="2713"/>
      <c r="R50" s="2715"/>
    </row>
    <row r="51" spans="2:18" s="907" customFormat="1">
      <c r="B51" s="2713"/>
      <c r="C51" s="2713"/>
      <c r="D51" s="2713"/>
      <c r="E51" s="2713"/>
      <c r="F51" s="2713"/>
      <c r="G51" s="2714"/>
      <c r="H51" s="2713"/>
      <c r="I51" s="2714"/>
      <c r="J51" s="2713"/>
      <c r="K51" s="2713"/>
      <c r="L51" s="2714"/>
      <c r="M51" s="2713"/>
      <c r="N51" s="2713"/>
      <c r="O51" s="2714"/>
      <c r="P51" s="2713"/>
      <c r="Q51" s="2713"/>
      <c r="R51" s="2715"/>
    </row>
    <row r="52" spans="2:18" s="907" customFormat="1">
      <c r="B52" s="2713"/>
      <c r="C52" s="2713"/>
      <c r="D52" s="2713"/>
      <c r="E52" s="2713"/>
      <c r="F52" s="2713"/>
      <c r="G52" s="2714"/>
      <c r="H52" s="2713"/>
      <c r="I52" s="2714"/>
      <c r="J52" s="2713"/>
      <c r="K52" s="2713"/>
      <c r="L52" s="2714"/>
      <c r="M52" s="2713"/>
      <c r="N52" s="2713"/>
      <c r="O52" s="2714"/>
      <c r="P52" s="2713"/>
      <c r="Q52" s="2713"/>
      <c r="R52" s="2715"/>
    </row>
    <row r="53" spans="2:18" s="907" customFormat="1">
      <c r="B53" s="2713"/>
      <c r="C53" s="2713"/>
      <c r="D53" s="2713"/>
      <c r="E53" s="2713"/>
      <c r="F53" s="2713"/>
      <c r="G53" s="2714"/>
      <c r="H53" s="2713"/>
      <c r="I53" s="2714"/>
      <c r="J53" s="2713"/>
      <c r="K53" s="2713"/>
      <c r="L53" s="2714"/>
      <c r="M53" s="2713"/>
      <c r="N53" s="2713"/>
      <c r="O53" s="2714"/>
      <c r="P53" s="2713"/>
      <c r="Q53" s="2713"/>
      <c r="R53" s="2715"/>
    </row>
    <row r="54" spans="2:18" s="907" customFormat="1">
      <c r="B54" s="2713"/>
      <c r="C54" s="2713"/>
      <c r="D54" s="2713"/>
      <c r="E54" s="2713"/>
      <c r="F54" s="2713"/>
      <c r="G54" s="2714"/>
      <c r="H54" s="2713"/>
      <c r="I54" s="2714"/>
      <c r="J54" s="2713"/>
      <c r="K54" s="2713"/>
      <c r="L54" s="2714"/>
      <c r="M54" s="2713"/>
      <c r="N54" s="2713"/>
      <c r="O54" s="2714"/>
      <c r="P54" s="2713"/>
      <c r="Q54" s="2713"/>
      <c r="R54" s="2715"/>
    </row>
    <row r="55" spans="2:18" s="907" customFormat="1">
      <c r="B55" s="2713"/>
      <c r="C55" s="2713"/>
      <c r="D55" s="2713"/>
      <c r="E55" s="2713"/>
      <c r="F55" s="2713"/>
      <c r="G55" s="2714"/>
      <c r="H55" s="2713"/>
      <c r="I55" s="2714"/>
      <c r="J55" s="2713"/>
      <c r="K55" s="2713"/>
      <c r="L55" s="2714"/>
      <c r="M55" s="2713"/>
      <c r="N55" s="2713"/>
      <c r="O55" s="2714"/>
      <c r="P55" s="2713"/>
      <c r="Q55" s="2713"/>
      <c r="R55" s="2715"/>
    </row>
    <row r="56" spans="2:18" s="907" customFormat="1">
      <c r="B56" s="2713"/>
      <c r="C56" s="2713"/>
      <c r="D56" s="2713"/>
      <c r="E56" s="2713"/>
      <c r="F56" s="2713"/>
      <c r="G56" s="2714"/>
      <c r="H56" s="2713"/>
      <c r="I56" s="2714"/>
      <c r="J56" s="2713"/>
      <c r="K56" s="2713"/>
      <c r="L56" s="2714"/>
      <c r="M56" s="2713"/>
      <c r="N56" s="2713"/>
      <c r="O56" s="2714"/>
      <c r="P56" s="2713"/>
      <c r="Q56" s="2713"/>
      <c r="R56" s="2715"/>
    </row>
    <row r="57" spans="2:18" s="907" customFormat="1">
      <c r="B57" s="2713"/>
      <c r="C57" s="2713"/>
      <c r="D57" s="2713"/>
      <c r="E57" s="2713"/>
      <c r="F57" s="2713"/>
      <c r="G57" s="2714"/>
      <c r="H57" s="2713"/>
      <c r="I57" s="2714"/>
      <c r="J57" s="2713"/>
      <c r="K57" s="2713"/>
      <c r="L57" s="2714"/>
      <c r="M57" s="2713"/>
      <c r="N57" s="2713"/>
      <c r="O57" s="2714"/>
      <c r="P57" s="2713"/>
      <c r="Q57" s="2713"/>
      <c r="R57" s="2715"/>
    </row>
    <row r="58" spans="2:18" s="907" customFormat="1">
      <c r="B58" s="2713"/>
      <c r="C58" s="2713"/>
      <c r="D58" s="2713"/>
      <c r="E58" s="2713"/>
      <c r="F58" s="2713"/>
      <c r="G58" s="2714"/>
      <c r="H58" s="2713"/>
      <c r="I58" s="2714"/>
      <c r="J58" s="2713"/>
      <c r="K58" s="2713"/>
      <c r="L58" s="2714"/>
      <c r="M58" s="2713"/>
      <c r="N58" s="2713"/>
      <c r="O58" s="2714"/>
      <c r="P58" s="2713"/>
      <c r="Q58" s="2713"/>
      <c r="R58" s="2715"/>
    </row>
    <row r="59" spans="2:18" s="907" customFormat="1">
      <c r="B59" s="2713"/>
      <c r="C59" s="2713"/>
      <c r="D59" s="2713"/>
      <c r="E59" s="2713"/>
      <c r="F59" s="2713"/>
      <c r="G59" s="2714"/>
      <c r="H59" s="2713"/>
      <c r="I59" s="2714"/>
      <c r="J59" s="2713"/>
      <c r="K59" s="2713"/>
      <c r="L59" s="2714"/>
      <c r="M59" s="2713"/>
      <c r="N59" s="2713"/>
      <c r="O59" s="2714"/>
      <c r="P59" s="2713"/>
      <c r="Q59" s="2713"/>
      <c r="R59" s="2715"/>
    </row>
    <row r="60" spans="2:18" s="907" customFormat="1">
      <c r="B60" s="2713"/>
      <c r="C60" s="2713"/>
      <c r="D60" s="2713"/>
      <c r="E60" s="2713"/>
      <c r="F60" s="2713"/>
      <c r="G60" s="2714"/>
      <c r="H60" s="2713"/>
      <c r="I60" s="2714"/>
      <c r="J60" s="2713"/>
      <c r="K60" s="2713"/>
      <c r="L60" s="2714"/>
      <c r="M60" s="2713"/>
      <c r="N60" s="2713"/>
      <c r="O60" s="2714"/>
      <c r="P60" s="2713"/>
      <c r="Q60" s="2713"/>
      <c r="R60" s="2715"/>
    </row>
    <row r="61" spans="2:18" s="907" customFormat="1">
      <c r="B61" s="2713"/>
      <c r="C61" s="2713"/>
      <c r="D61" s="2713"/>
      <c r="E61" s="2713"/>
      <c r="F61" s="2713"/>
      <c r="G61" s="2714"/>
      <c r="H61" s="2713"/>
      <c r="I61" s="2714"/>
      <c r="J61" s="2713"/>
      <c r="K61" s="2713"/>
      <c r="L61" s="2714"/>
      <c r="M61" s="2713"/>
      <c r="N61" s="2713"/>
      <c r="O61" s="2714"/>
      <c r="P61" s="2713"/>
      <c r="Q61" s="2713"/>
      <c r="R61" s="2715"/>
    </row>
    <row r="62" spans="2:18" s="907" customFormat="1">
      <c r="B62" s="2713"/>
      <c r="C62" s="2713"/>
      <c r="D62" s="2713"/>
      <c r="E62" s="2713"/>
      <c r="F62" s="2713"/>
      <c r="G62" s="2714"/>
      <c r="H62" s="2713"/>
      <c r="I62" s="2714"/>
      <c r="J62" s="2713"/>
      <c r="K62" s="2713"/>
      <c r="L62" s="2714"/>
      <c r="M62" s="2713"/>
      <c r="N62" s="2713"/>
      <c r="O62" s="2714"/>
      <c r="P62" s="2713"/>
      <c r="Q62" s="2713"/>
      <c r="R62" s="2715"/>
    </row>
    <row r="63" spans="2:18" s="907" customFormat="1">
      <c r="B63" s="2713"/>
      <c r="C63" s="2713"/>
      <c r="D63" s="2713"/>
      <c r="E63" s="2713"/>
      <c r="F63" s="2713"/>
      <c r="G63" s="2714"/>
      <c r="H63" s="2713"/>
      <c r="I63" s="2714"/>
      <c r="J63" s="2713"/>
      <c r="K63" s="2713"/>
      <c r="L63" s="2714"/>
      <c r="M63" s="2713"/>
      <c r="N63" s="2713"/>
      <c r="O63" s="2714"/>
      <c r="P63" s="2713"/>
      <c r="Q63" s="2713"/>
      <c r="R63" s="2715"/>
    </row>
    <row r="64" spans="2:18" s="907" customFormat="1">
      <c r="B64" s="2713"/>
      <c r="C64" s="2713"/>
      <c r="D64" s="2713"/>
      <c r="E64" s="2713"/>
      <c r="F64" s="2713"/>
      <c r="G64" s="2714"/>
      <c r="H64" s="2713"/>
      <c r="I64" s="2714"/>
      <c r="J64" s="2713"/>
      <c r="K64" s="2713"/>
      <c r="L64" s="2714"/>
      <c r="M64" s="2713"/>
      <c r="N64" s="2713"/>
      <c r="O64" s="2714"/>
      <c r="P64" s="2713"/>
      <c r="Q64" s="2713"/>
      <c r="R64" s="2715"/>
    </row>
    <row r="65" spans="2:18" s="907" customFormat="1">
      <c r="B65" s="2713"/>
      <c r="C65" s="2713"/>
      <c r="D65" s="2713"/>
      <c r="E65" s="2713"/>
      <c r="F65" s="2713"/>
      <c r="G65" s="2714"/>
      <c r="H65" s="2713"/>
      <c r="I65" s="2714"/>
      <c r="J65" s="2713"/>
      <c r="K65" s="2713"/>
      <c r="L65" s="2714"/>
      <c r="M65" s="2713"/>
      <c r="N65" s="2713"/>
      <c r="O65" s="2714"/>
      <c r="P65" s="2713"/>
      <c r="Q65" s="2713"/>
      <c r="R65" s="2715"/>
    </row>
    <row r="66" spans="2:18" s="907" customFormat="1">
      <c r="B66" s="2713"/>
      <c r="C66" s="2713"/>
      <c r="D66" s="2713"/>
      <c r="E66" s="2713"/>
      <c r="F66" s="2713"/>
      <c r="G66" s="2714"/>
      <c r="H66" s="2713"/>
      <c r="I66" s="2714"/>
      <c r="J66" s="2713"/>
      <c r="K66" s="2713"/>
      <c r="L66" s="2714"/>
      <c r="M66" s="2713"/>
      <c r="N66" s="2713"/>
      <c r="O66" s="2714"/>
      <c r="P66" s="2713"/>
      <c r="Q66" s="2713"/>
      <c r="R66" s="2715"/>
    </row>
    <row r="67" spans="2:18" s="907" customFormat="1">
      <c r="B67" s="2713"/>
      <c r="C67" s="2713"/>
      <c r="D67" s="2713"/>
      <c r="E67" s="2713"/>
      <c r="F67" s="2713"/>
      <c r="G67" s="2714"/>
      <c r="H67" s="2713"/>
      <c r="I67" s="2714"/>
      <c r="J67" s="2713"/>
      <c r="K67" s="2713"/>
      <c r="L67" s="2714"/>
      <c r="M67" s="2713"/>
      <c r="N67" s="2713"/>
      <c r="O67" s="2714"/>
      <c r="P67" s="2713"/>
      <c r="Q67" s="2713"/>
      <c r="R67" s="2715"/>
    </row>
    <row r="68" spans="2:18" s="907" customFormat="1">
      <c r="B68" s="2713"/>
      <c r="C68" s="2713"/>
      <c r="D68" s="2713"/>
      <c r="E68" s="2713"/>
      <c r="F68" s="2713"/>
      <c r="G68" s="2714"/>
      <c r="H68" s="2713"/>
      <c r="I68" s="2714"/>
      <c r="J68" s="2713"/>
      <c r="K68" s="2713"/>
      <c r="L68" s="2714"/>
      <c r="M68" s="2713"/>
      <c r="N68" s="2713"/>
      <c r="O68" s="2714"/>
      <c r="P68" s="2713"/>
      <c r="Q68" s="2713"/>
      <c r="R68" s="2715"/>
    </row>
    <row r="69" spans="2:18" s="907" customFormat="1">
      <c r="B69" s="2713"/>
      <c r="C69" s="2713"/>
      <c r="D69" s="2713"/>
      <c r="E69" s="2713"/>
      <c r="F69" s="2713"/>
      <c r="G69" s="2714"/>
      <c r="H69" s="2713"/>
      <c r="I69" s="2714"/>
      <c r="J69" s="2713"/>
      <c r="K69" s="2713"/>
      <c r="L69" s="2714"/>
      <c r="M69" s="2713"/>
      <c r="N69" s="2713"/>
      <c r="O69" s="2714"/>
      <c r="P69" s="2713"/>
      <c r="Q69" s="2713"/>
      <c r="R69" s="2715"/>
    </row>
    <row r="70" spans="2:18" s="907" customFormat="1">
      <c r="B70" s="2713"/>
      <c r="C70" s="2713"/>
      <c r="D70" s="2713"/>
      <c r="E70" s="2713"/>
      <c r="F70" s="2713"/>
      <c r="G70" s="2714"/>
      <c r="H70" s="2713"/>
      <c r="I70" s="2714"/>
      <c r="J70" s="2713"/>
      <c r="K70" s="2713"/>
      <c r="L70" s="2714"/>
      <c r="M70" s="2713"/>
      <c r="N70" s="2713"/>
      <c r="O70" s="2714"/>
      <c r="P70" s="2713"/>
      <c r="Q70" s="2713"/>
      <c r="R70" s="2715"/>
    </row>
    <row r="71" spans="2:18" s="907" customFormat="1">
      <c r="B71" s="2713"/>
      <c r="C71" s="2713"/>
      <c r="D71" s="2713"/>
      <c r="E71" s="2713"/>
      <c r="F71" s="2713"/>
      <c r="G71" s="2714"/>
      <c r="H71" s="2713"/>
      <c r="I71" s="2714"/>
      <c r="J71" s="2713"/>
      <c r="K71" s="2713"/>
      <c r="L71" s="2714"/>
      <c r="M71" s="2713"/>
      <c r="N71" s="2713"/>
      <c r="O71" s="2714"/>
      <c r="P71" s="2713"/>
      <c r="Q71" s="2713"/>
      <c r="R71" s="2715"/>
    </row>
    <row r="72" spans="2:18" s="907" customFormat="1">
      <c r="B72" s="2713"/>
      <c r="C72" s="2713"/>
      <c r="D72" s="2713"/>
      <c r="E72" s="2713"/>
      <c r="F72" s="2713"/>
      <c r="G72" s="2714"/>
      <c r="H72" s="2713"/>
      <c r="I72" s="2714"/>
      <c r="J72" s="2713"/>
      <c r="K72" s="2713"/>
      <c r="L72" s="2714"/>
      <c r="M72" s="2713"/>
      <c r="N72" s="2713"/>
      <c r="O72" s="2714"/>
      <c r="P72" s="2713"/>
      <c r="Q72" s="2713"/>
      <c r="R72" s="2715"/>
    </row>
    <row r="73" spans="2:18" s="907" customFormat="1">
      <c r="B73" s="2713"/>
      <c r="C73" s="2713"/>
      <c r="D73" s="2713"/>
      <c r="E73" s="2713"/>
      <c r="F73" s="2713"/>
      <c r="G73" s="2714"/>
      <c r="H73" s="2713"/>
      <c r="I73" s="2714"/>
      <c r="J73" s="2713"/>
      <c r="K73" s="2713"/>
      <c r="L73" s="2714"/>
      <c r="M73" s="2713"/>
      <c r="N73" s="2713"/>
      <c r="O73" s="2714"/>
      <c r="P73" s="2713"/>
      <c r="Q73" s="2713"/>
      <c r="R73" s="2715"/>
    </row>
    <row r="74" spans="2:18" s="907" customFormat="1">
      <c r="B74" s="2713"/>
      <c r="C74" s="2713"/>
      <c r="D74" s="2713"/>
      <c r="E74" s="2713"/>
      <c r="F74" s="2713"/>
      <c r="G74" s="2714"/>
      <c r="H74" s="2713"/>
      <c r="I74" s="2714"/>
      <c r="J74" s="2713"/>
      <c r="K74" s="2713"/>
      <c r="L74" s="2714"/>
      <c r="M74" s="2713"/>
      <c r="N74" s="2713"/>
      <c r="O74" s="2714"/>
      <c r="P74" s="2713"/>
      <c r="Q74" s="2713"/>
      <c r="R74" s="2715"/>
    </row>
    <row r="75" spans="2:18" s="907" customFormat="1">
      <c r="B75" s="2713"/>
      <c r="C75" s="2713"/>
      <c r="D75" s="2713"/>
      <c r="E75" s="2713"/>
      <c r="F75" s="2713"/>
      <c r="G75" s="2714"/>
      <c r="H75" s="2713"/>
      <c r="I75" s="2714"/>
      <c r="J75" s="2713"/>
      <c r="K75" s="2713"/>
      <c r="L75" s="2714"/>
      <c r="M75" s="2713"/>
      <c r="N75" s="2713"/>
      <c r="O75" s="2714"/>
      <c r="P75" s="2713"/>
      <c r="Q75" s="2713"/>
      <c r="R75" s="2715"/>
    </row>
    <row r="76" spans="2:18" s="907" customFormat="1">
      <c r="B76" s="2713"/>
      <c r="C76" s="2713"/>
      <c r="D76" s="2713"/>
      <c r="E76" s="2713"/>
      <c r="F76" s="2713"/>
      <c r="G76" s="2714"/>
      <c r="H76" s="2713"/>
      <c r="I76" s="2714"/>
      <c r="J76" s="2713"/>
      <c r="K76" s="2713"/>
      <c r="L76" s="2714"/>
      <c r="M76" s="2713"/>
      <c r="N76" s="2713"/>
      <c r="O76" s="2714"/>
      <c r="P76" s="2713"/>
      <c r="Q76" s="2713"/>
      <c r="R76" s="2715"/>
    </row>
    <row r="77" spans="2:18" s="907" customFormat="1">
      <c r="B77" s="2713"/>
      <c r="C77" s="2713"/>
      <c r="D77" s="2713"/>
      <c r="E77" s="2713"/>
      <c r="F77" s="2713"/>
      <c r="G77" s="2714"/>
      <c r="H77" s="2713"/>
      <c r="I77" s="2714"/>
      <c r="J77" s="2713"/>
      <c r="K77" s="2713"/>
      <c r="L77" s="2714"/>
      <c r="M77" s="2713"/>
      <c r="N77" s="2713"/>
      <c r="O77" s="2714"/>
      <c r="P77" s="2713"/>
      <c r="Q77" s="2713"/>
      <c r="R77" s="2715"/>
    </row>
    <row r="78" spans="2:18" s="907" customFormat="1">
      <c r="B78" s="2713"/>
      <c r="C78" s="2713"/>
      <c r="D78" s="2713"/>
      <c r="E78" s="2713"/>
      <c r="F78" s="2713"/>
      <c r="G78" s="2714"/>
      <c r="H78" s="2713"/>
      <c r="I78" s="2714"/>
      <c r="J78" s="2713"/>
      <c r="K78" s="2713"/>
      <c r="L78" s="2714"/>
      <c r="M78" s="2713"/>
      <c r="N78" s="2713"/>
      <c r="O78" s="2714"/>
      <c r="P78" s="2713"/>
      <c r="Q78" s="2713"/>
      <c r="R78" s="2715"/>
    </row>
    <row r="79" spans="2:18" s="907" customFormat="1">
      <c r="B79" s="2713"/>
      <c r="C79" s="2713"/>
      <c r="D79" s="2713"/>
      <c r="E79" s="2713"/>
      <c r="F79" s="2713"/>
      <c r="G79" s="2714"/>
      <c r="H79" s="2713"/>
      <c r="I79" s="2714"/>
      <c r="J79" s="2713"/>
      <c r="K79" s="2713"/>
      <c r="L79" s="2714"/>
      <c r="M79" s="2713"/>
      <c r="N79" s="2713"/>
      <c r="O79" s="2714"/>
      <c r="P79" s="2713"/>
      <c r="Q79" s="2713"/>
      <c r="R79" s="2715"/>
    </row>
    <row r="80" spans="2:18" s="907" customFormat="1">
      <c r="B80" s="2713"/>
      <c r="C80" s="2713"/>
      <c r="D80" s="2713"/>
      <c r="E80" s="2713"/>
      <c r="F80" s="2713"/>
      <c r="G80" s="2714"/>
      <c r="H80" s="2713"/>
      <c r="I80" s="2714"/>
      <c r="J80" s="2713"/>
      <c r="K80" s="2713"/>
      <c r="L80" s="2714"/>
      <c r="M80" s="2713"/>
      <c r="N80" s="2713"/>
      <c r="O80" s="2714"/>
      <c r="P80" s="2713"/>
      <c r="Q80" s="2713"/>
      <c r="R80" s="2715"/>
    </row>
    <row r="81" spans="2:18" s="907" customFormat="1">
      <c r="B81" s="2713"/>
      <c r="C81" s="2713"/>
      <c r="D81" s="2713"/>
      <c r="E81" s="2713"/>
      <c r="F81" s="2713"/>
      <c r="G81" s="2714"/>
      <c r="H81" s="2713"/>
      <c r="I81" s="2714"/>
      <c r="J81" s="2713"/>
      <c r="K81" s="2713"/>
      <c r="L81" s="2714"/>
      <c r="M81" s="2713"/>
      <c r="N81" s="2713"/>
      <c r="O81" s="2714"/>
      <c r="P81" s="2713"/>
      <c r="Q81" s="2713"/>
      <c r="R81" s="2715"/>
    </row>
    <row r="82" spans="2:18" s="907" customFormat="1">
      <c r="B82" s="2713"/>
      <c r="C82" s="2713"/>
      <c r="D82" s="2713"/>
      <c r="E82" s="2713"/>
      <c r="F82" s="2713"/>
      <c r="G82" s="2714"/>
      <c r="H82" s="2713"/>
      <c r="I82" s="2714"/>
      <c r="J82" s="2713"/>
      <c r="K82" s="2713"/>
      <c r="L82" s="2714"/>
      <c r="M82" s="2713"/>
      <c r="N82" s="2713"/>
      <c r="O82" s="2714"/>
      <c r="P82" s="2713"/>
      <c r="Q82" s="2713"/>
      <c r="R82" s="2715"/>
    </row>
    <row r="83" spans="2:18" s="907" customFormat="1">
      <c r="B83" s="2713"/>
      <c r="C83" s="2713"/>
      <c r="D83" s="2713"/>
      <c r="E83" s="2713"/>
      <c r="F83" s="2713"/>
      <c r="G83" s="2714"/>
      <c r="H83" s="2713"/>
      <c r="I83" s="2714"/>
      <c r="J83" s="2713"/>
      <c r="K83" s="2713"/>
      <c r="L83" s="2714"/>
      <c r="M83" s="2713"/>
      <c r="N83" s="2713"/>
      <c r="O83" s="2714"/>
      <c r="P83" s="2713"/>
      <c r="Q83" s="2713"/>
      <c r="R83" s="2715"/>
    </row>
    <row r="84" spans="2:18" s="907" customFormat="1">
      <c r="B84" s="2713"/>
      <c r="C84" s="2713"/>
      <c r="D84" s="2713"/>
      <c r="E84" s="2713"/>
      <c r="F84" s="2713"/>
      <c r="G84" s="2714"/>
      <c r="H84" s="2713"/>
      <c r="I84" s="2714"/>
      <c r="J84" s="2713"/>
      <c r="K84" s="2713"/>
      <c r="L84" s="2714"/>
      <c r="M84" s="2713"/>
      <c r="N84" s="2713"/>
      <c r="O84" s="2714"/>
      <c r="P84" s="2713"/>
      <c r="Q84" s="2713"/>
      <c r="R84" s="2715"/>
    </row>
    <row r="85" spans="2:18" s="907" customFormat="1">
      <c r="B85" s="2713"/>
      <c r="C85" s="2713"/>
      <c r="D85" s="2713"/>
      <c r="E85" s="2713"/>
      <c r="F85" s="2713"/>
      <c r="G85" s="2714"/>
      <c r="H85" s="2713"/>
      <c r="I85" s="2714"/>
      <c r="J85" s="2713"/>
      <c r="K85" s="2713"/>
      <c r="L85" s="2714"/>
      <c r="M85" s="2713"/>
      <c r="N85" s="2713"/>
      <c r="O85" s="2714"/>
      <c r="P85" s="2713"/>
      <c r="Q85" s="2713"/>
      <c r="R85" s="2715"/>
    </row>
    <row r="86" spans="2:18" s="907" customFormat="1">
      <c r="B86" s="2713"/>
      <c r="C86" s="2713"/>
      <c r="D86" s="2713"/>
      <c r="E86" s="2713"/>
      <c r="F86" s="2713"/>
      <c r="G86" s="2714"/>
      <c r="H86" s="2713"/>
      <c r="I86" s="2714"/>
      <c r="J86" s="2713"/>
      <c r="K86" s="2713"/>
      <c r="L86" s="2714"/>
      <c r="M86" s="2713"/>
      <c r="N86" s="2713"/>
      <c r="O86" s="2714"/>
      <c r="P86" s="2713"/>
      <c r="Q86" s="2713"/>
      <c r="R86" s="2715"/>
    </row>
    <row r="87" spans="2:18" s="907" customFormat="1">
      <c r="B87" s="2713"/>
      <c r="C87" s="2713"/>
      <c r="D87" s="2713"/>
      <c r="E87" s="2713"/>
      <c r="F87" s="2713"/>
      <c r="G87" s="2714"/>
      <c r="H87" s="2713"/>
      <c r="I87" s="2714"/>
      <c r="J87" s="2713"/>
      <c r="K87" s="2713"/>
      <c r="L87" s="2714"/>
      <c r="M87" s="2713"/>
      <c r="N87" s="2713"/>
      <c r="O87" s="2714"/>
      <c r="P87" s="2713"/>
      <c r="Q87" s="2713"/>
      <c r="R87" s="2715"/>
    </row>
    <row r="88" spans="2:18" s="907" customFormat="1">
      <c r="B88" s="2713"/>
      <c r="C88" s="2713"/>
      <c r="D88" s="2713"/>
      <c r="E88" s="2713"/>
      <c r="F88" s="2713"/>
      <c r="G88" s="2714"/>
      <c r="H88" s="2713"/>
      <c r="I88" s="2714"/>
      <c r="J88" s="2713"/>
      <c r="K88" s="2713"/>
      <c r="L88" s="2714"/>
      <c r="M88" s="2713"/>
      <c r="N88" s="2713"/>
      <c r="O88" s="2714"/>
      <c r="P88" s="2713"/>
      <c r="Q88" s="2713"/>
      <c r="R88" s="2715"/>
    </row>
    <row r="89" spans="2:18" s="907" customFormat="1">
      <c r="B89" s="2713"/>
      <c r="C89" s="2713"/>
      <c r="D89" s="2713"/>
      <c r="E89" s="2713"/>
      <c r="F89" s="2713"/>
      <c r="G89" s="2714"/>
      <c r="H89" s="2713"/>
      <c r="I89" s="2714"/>
      <c r="J89" s="2713"/>
      <c r="K89" s="2713"/>
      <c r="L89" s="2714"/>
      <c r="M89" s="2713"/>
      <c r="N89" s="2713"/>
      <c r="O89" s="2714"/>
      <c r="P89" s="2713"/>
      <c r="Q89" s="2713"/>
      <c r="R89" s="2715"/>
    </row>
    <row r="90" spans="2:18" s="907" customFormat="1">
      <c r="B90" s="2713"/>
      <c r="C90" s="2713"/>
      <c r="D90" s="2713"/>
      <c r="E90" s="2713"/>
      <c r="F90" s="2713"/>
      <c r="G90" s="2714"/>
      <c r="H90" s="2713"/>
      <c r="I90" s="2714"/>
      <c r="J90" s="2713"/>
      <c r="K90" s="2713"/>
      <c r="L90" s="2714"/>
      <c r="M90" s="2713"/>
      <c r="N90" s="2713"/>
      <c r="O90" s="2714"/>
      <c r="P90" s="2713"/>
      <c r="Q90" s="2713"/>
      <c r="R90" s="2715"/>
    </row>
    <row r="91" spans="2:18" s="907" customFormat="1">
      <c r="B91" s="2713"/>
      <c r="C91" s="2713"/>
      <c r="D91" s="2713"/>
      <c r="E91" s="2713"/>
      <c r="F91" s="2713"/>
      <c r="G91" s="2714"/>
      <c r="H91" s="2713"/>
      <c r="I91" s="2714"/>
      <c r="J91" s="2713"/>
      <c r="K91" s="2713"/>
      <c r="L91" s="2714"/>
      <c r="M91" s="2713"/>
      <c r="N91" s="2713"/>
      <c r="O91" s="2714"/>
      <c r="P91" s="2713"/>
      <c r="Q91" s="2713"/>
      <c r="R91" s="2715"/>
    </row>
    <row r="92" spans="2:18" s="907" customFormat="1">
      <c r="B92" s="2713"/>
      <c r="C92" s="2713"/>
      <c r="D92" s="2713"/>
      <c r="E92" s="2713"/>
      <c r="F92" s="2713"/>
      <c r="G92" s="2714"/>
      <c r="H92" s="2713"/>
      <c r="I92" s="2714"/>
      <c r="J92" s="2713"/>
      <c r="K92" s="2713"/>
      <c r="L92" s="2714"/>
      <c r="M92" s="2713"/>
      <c r="N92" s="2713"/>
      <c r="O92" s="2714"/>
      <c r="P92" s="2713"/>
      <c r="Q92" s="2713"/>
      <c r="R92" s="2715"/>
    </row>
    <row r="93" spans="2:18" s="907" customFormat="1">
      <c r="B93" s="2713"/>
      <c r="C93" s="2713"/>
      <c r="D93" s="2713"/>
      <c r="E93" s="2713"/>
      <c r="F93" s="2713"/>
      <c r="G93" s="2714"/>
      <c r="H93" s="2713"/>
      <c r="I93" s="2714"/>
      <c r="J93" s="2713"/>
      <c r="K93" s="2713"/>
      <c r="L93" s="2714"/>
      <c r="M93" s="2713"/>
      <c r="N93" s="2713"/>
      <c r="O93" s="2714"/>
      <c r="P93" s="2713"/>
      <c r="Q93" s="2713"/>
      <c r="R93" s="2715"/>
    </row>
    <row r="94" spans="2:18" s="907" customFormat="1">
      <c r="B94" s="2713"/>
      <c r="C94" s="2713"/>
      <c r="D94" s="2713"/>
      <c r="E94" s="2713"/>
      <c r="F94" s="2713"/>
      <c r="G94" s="2714"/>
      <c r="H94" s="2713"/>
      <c r="I94" s="2714"/>
      <c r="J94" s="2713"/>
      <c r="K94" s="2713"/>
      <c r="L94" s="2714"/>
      <c r="M94" s="2713"/>
      <c r="N94" s="2713"/>
      <c r="O94" s="2714"/>
      <c r="P94" s="2713"/>
      <c r="Q94" s="2713"/>
      <c r="R94" s="2715"/>
    </row>
    <row r="95" spans="2:18" s="907" customFormat="1">
      <c r="B95" s="2713"/>
      <c r="C95" s="2713"/>
      <c r="D95" s="2713"/>
      <c r="E95" s="2713"/>
      <c r="F95" s="2713"/>
      <c r="G95" s="2714"/>
      <c r="H95" s="2713"/>
      <c r="I95" s="2714"/>
      <c r="J95" s="2713"/>
      <c r="K95" s="2713"/>
      <c r="L95" s="2714"/>
      <c r="M95" s="2713"/>
      <c r="N95" s="2713"/>
      <c r="O95" s="2714"/>
      <c r="P95" s="2713"/>
      <c r="Q95" s="2713"/>
      <c r="R95" s="2715"/>
    </row>
    <row r="96" spans="2:18" s="907" customFormat="1">
      <c r="B96" s="2713"/>
      <c r="C96" s="2713"/>
      <c r="D96" s="2713"/>
      <c r="E96" s="2713"/>
      <c r="F96" s="2713"/>
      <c r="G96" s="2714"/>
      <c r="H96" s="2713"/>
      <c r="I96" s="2714"/>
      <c r="J96" s="2713"/>
      <c r="K96" s="2713"/>
      <c r="L96" s="2714"/>
      <c r="M96" s="2713"/>
      <c r="N96" s="2713"/>
      <c r="O96" s="2714"/>
      <c r="P96" s="2713"/>
      <c r="Q96" s="2713"/>
      <c r="R96" s="2715"/>
    </row>
    <row r="97" spans="2:18" s="907" customFormat="1">
      <c r="B97" s="2713"/>
      <c r="C97" s="2713"/>
      <c r="D97" s="2713"/>
      <c r="E97" s="2713"/>
      <c r="F97" s="2713"/>
      <c r="G97" s="2714"/>
      <c r="H97" s="2713"/>
      <c r="I97" s="2714"/>
      <c r="J97" s="2713"/>
      <c r="K97" s="2713"/>
      <c r="L97" s="2714"/>
      <c r="M97" s="2713"/>
      <c r="N97" s="2713"/>
      <c r="O97" s="2714"/>
      <c r="P97" s="2713"/>
      <c r="Q97" s="2713"/>
      <c r="R97" s="2715"/>
    </row>
    <row r="98" spans="2:18" s="907" customFormat="1">
      <c r="B98" s="2713"/>
      <c r="C98" s="2713"/>
      <c r="D98" s="2713"/>
      <c r="E98" s="2713"/>
      <c r="F98" s="2713"/>
      <c r="G98" s="2714"/>
      <c r="H98" s="2713"/>
      <c r="I98" s="2714"/>
      <c r="J98" s="2713"/>
      <c r="K98" s="2713"/>
      <c r="L98" s="2714"/>
      <c r="M98" s="2713"/>
      <c r="N98" s="2713"/>
      <c r="O98" s="2714"/>
      <c r="P98" s="2713"/>
      <c r="Q98" s="2713"/>
      <c r="R98" s="2715"/>
    </row>
    <row r="99" spans="2:18" s="907" customFormat="1">
      <c r="B99" s="2713"/>
      <c r="C99" s="2713"/>
      <c r="D99" s="2713"/>
      <c r="E99" s="2713"/>
      <c r="F99" s="2713"/>
      <c r="G99" s="2714"/>
      <c r="H99" s="2713"/>
      <c r="I99" s="2714"/>
      <c r="J99" s="2713"/>
      <c r="K99" s="2713"/>
      <c r="L99" s="2714"/>
      <c r="M99" s="2713"/>
      <c r="N99" s="2713"/>
      <c r="O99" s="2714"/>
      <c r="P99" s="2713"/>
      <c r="Q99" s="2713"/>
      <c r="R99" s="2715"/>
    </row>
    <row r="100" spans="2:18" s="907" customFormat="1">
      <c r="B100" s="2713"/>
      <c r="C100" s="2713"/>
      <c r="D100" s="2713"/>
      <c r="E100" s="2713"/>
      <c r="F100" s="2713"/>
      <c r="G100" s="2714"/>
      <c r="H100" s="2713"/>
      <c r="I100" s="2714"/>
      <c r="J100" s="2713"/>
      <c r="K100" s="2713"/>
      <c r="L100" s="2714"/>
      <c r="M100" s="2713"/>
      <c r="N100" s="2713"/>
      <c r="O100" s="2714"/>
      <c r="P100" s="2713"/>
      <c r="Q100" s="2713"/>
      <c r="R100" s="2715"/>
    </row>
    <row r="101" spans="2:18" s="907" customFormat="1">
      <c r="B101" s="2713"/>
      <c r="C101" s="2713"/>
      <c r="D101" s="2713"/>
      <c r="E101" s="2713"/>
      <c r="F101" s="2713"/>
      <c r="G101" s="2714"/>
      <c r="H101" s="2713"/>
      <c r="I101" s="2714"/>
      <c r="J101" s="2713"/>
      <c r="K101" s="2713"/>
      <c r="L101" s="2714"/>
      <c r="M101" s="2713"/>
      <c r="N101" s="2713"/>
      <c r="O101" s="2714"/>
      <c r="P101" s="2713"/>
      <c r="Q101" s="2713"/>
      <c r="R101" s="2715"/>
    </row>
    <row r="102" spans="2:18" s="907" customFormat="1">
      <c r="B102" s="2713"/>
      <c r="C102" s="2713"/>
      <c r="D102" s="2713"/>
      <c r="E102" s="2713"/>
      <c r="F102" s="2713"/>
      <c r="G102" s="2714"/>
      <c r="H102" s="2713"/>
      <c r="I102" s="2714"/>
      <c r="J102" s="2713"/>
      <c r="K102" s="2713"/>
      <c r="L102" s="2714"/>
      <c r="M102" s="2713"/>
      <c r="N102" s="2713"/>
      <c r="O102" s="2714"/>
      <c r="P102" s="2713"/>
      <c r="Q102" s="2713"/>
      <c r="R102" s="2715"/>
    </row>
    <row r="103" spans="2:18" s="907" customFormat="1">
      <c r="B103" s="2713"/>
      <c r="C103" s="2713"/>
      <c r="D103" s="2713"/>
      <c r="E103" s="2713"/>
      <c r="F103" s="2713"/>
      <c r="G103" s="2714"/>
      <c r="H103" s="2713"/>
      <c r="I103" s="2714"/>
      <c r="J103" s="2713"/>
      <c r="K103" s="2713"/>
      <c r="L103" s="2714"/>
      <c r="M103" s="2713"/>
      <c r="N103" s="2713"/>
      <c r="O103" s="2714"/>
      <c r="P103" s="2713"/>
      <c r="Q103" s="2713"/>
      <c r="R103" s="2715"/>
    </row>
    <row r="104" spans="2:18" s="907" customFormat="1">
      <c r="B104" s="2713"/>
      <c r="C104" s="2713"/>
      <c r="D104" s="2713"/>
      <c r="E104" s="2713"/>
      <c r="F104" s="2713"/>
      <c r="G104" s="2714"/>
      <c r="H104" s="2713"/>
      <c r="I104" s="2714"/>
      <c r="J104" s="2713"/>
      <c r="K104" s="2713"/>
      <c r="L104" s="2714"/>
      <c r="M104" s="2713"/>
      <c r="N104" s="2713"/>
      <c r="O104" s="2714"/>
      <c r="P104" s="2713"/>
      <c r="Q104" s="2713"/>
      <c r="R104" s="2715"/>
    </row>
    <row r="105" spans="2:18" s="907" customFormat="1">
      <c r="B105" s="2713"/>
      <c r="C105" s="2713"/>
      <c r="D105" s="2713"/>
      <c r="E105" s="2713"/>
      <c r="F105" s="2713"/>
      <c r="G105" s="2714"/>
      <c r="H105" s="2713"/>
      <c r="I105" s="2714"/>
      <c r="J105" s="2713"/>
      <c r="K105" s="2713"/>
      <c r="L105" s="2714"/>
      <c r="M105" s="2713"/>
      <c r="N105" s="2713"/>
      <c r="O105" s="2714"/>
      <c r="P105" s="2713"/>
      <c r="Q105" s="2713"/>
      <c r="R105" s="2715"/>
    </row>
    <row r="106" spans="2:18" s="907" customFormat="1">
      <c r="B106" s="2713"/>
      <c r="C106" s="2713"/>
      <c r="D106" s="2713"/>
      <c r="E106" s="2713"/>
      <c r="F106" s="2713"/>
      <c r="G106" s="2714"/>
      <c r="H106" s="2713"/>
      <c r="I106" s="2714"/>
      <c r="J106" s="2713"/>
      <c r="K106" s="2713"/>
      <c r="L106" s="2714"/>
      <c r="M106" s="2713"/>
      <c r="N106" s="2713"/>
      <c r="O106" s="2714"/>
      <c r="P106" s="2713"/>
      <c r="Q106" s="2713"/>
      <c r="R106" s="2715"/>
    </row>
    <row r="107" spans="2:18" s="907" customFormat="1">
      <c r="B107" s="2713"/>
      <c r="C107" s="2713"/>
      <c r="D107" s="2713"/>
      <c r="E107" s="2713"/>
      <c r="F107" s="2713"/>
      <c r="G107" s="2714"/>
      <c r="H107" s="2713"/>
      <c r="I107" s="2714"/>
      <c r="J107" s="2713"/>
      <c r="K107" s="2713"/>
      <c r="L107" s="2714"/>
      <c r="M107" s="2713"/>
      <c r="N107" s="2713"/>
      <c r="O107" s="2714"/>
      <c r="P107" s="2713"/>
      <c r="Q107" s="2713"/>
      <c r="R107" s="2715"/>
    </row>
    <row r="108" spans="2:18" s="907" customFormat="1">
      <c r="B108" s="2713"/>
      <c r="C108" s="2713"/>
      <c r="D108" s="2713"/>
      <c r="E108" s="2713"/>
      <c r="F108" s="2713"/>
      <c r="G108" s="2714"/>
      <c r="H108" s="2713"/>
      <c r="I108" s="2714"/>
      <c r="J108" s="2713"/>
      <c r="K108" s="2713"/>
      <c r="L108" s="2714"/>
      <c r="M108" s="2713"/>
      <c r="N108" s="2713"/>
      <c r="O108" s="2714"/>
      <c r="P108" s="2713"/>
      <c r="Q108" s="2713"/>
      <c r="R108" s="2715"/>
    </row>
    <row r="109" spans="2:18" s="907" customFormat="1">
      <c r="B109" s="2713"/>
      <c r="C109" s="2713"/>
      <c r="D109" s="2713"/>
      <c r="E109" s="2713"/>
      <c r="F109" s="2713"/>
      <c r="G109" s="2714"/>
      <c r="H109" s="2713"/>
      <c r="I109" s="2714"/>
      <c r="J109" s="2713"/>
      <c r="K109" s="2713"/>
      <c r="L109" s="2714"/>
      <c r="M109" s="2713"/>
      <c r="N109" s="2713"/>
      <c r="O109" s="2714"/>
      <c r="P109" s="2713"/>
      <c r="Q109" s="2713"/>
      <c r="R109" s="2715"/>
    </row>
    <row r="110" spans="2:18" s="907" customFormat="1">
      <c r="B110" s="2713"/>
      <c r="C110" s="2713"/>
      <c r="D110" s="2713"/>
      <c r="E110" s="2713"/>
      <c r="F110" s="2713"/>
      <c r="G110" s="2714"/>
      <c r="H110" s="2713"/>
      <c r="I110" s="2714"/>
      <c r="J110" s="2713"/>
      <c r="K110" s="2713"/>
      <c r="L110" s="2714"/>
      <c r="M110" s="2713"/>
      <c r="N110" s="2713"/>
      <c r="O110" s="2714"/>
      <c r="P110" s="2713"/>
      <c r="Q110" s="2713"/>
      <c r="R110" s="2715"/>
    </row>
    <row r="111" spans="2:18" s="907" customFormat="1">
      <c r="B111" s="2713"/>
      <c r="C111" s="2713"/>
      <c r="D111" s="2713"/>
      <c r="E111" s="2713"/>
      <c r="F111" s="2713"/>
      <c r="G111" s="2714"/>
      <c r="H111" s="2713"/>
      <c r="I111" s="2714"/>
      <c r="J111" s="2713"/>
      <c r="K111" s="2713"/>
      <c r="L111" s="2714"/>
      <c r="M111" s="2713"/>
      <c r="N111" s="2713"/>
      <c r="O111" s="2714"/>
      <c r="P111" s="2713"/>
      <c r="Q111" s="2713"/>
      <c r="R111" s="2715"/>
    </row>
    <row r="112" spans="2:18" s="907" customFormat="1">
      <c r="B112" s="2713"/>
      <c r="C112" s="2713"/>
      <c r="D112" s="2713"/>
      <c r="E112" s="2713"/>
      <c r="F112" s="2713"/>
      <c r="G112" s="2714"/>
      <c r="H112" s="2713"/>
      <c r="I112" s="2714"/>
      <c r="J112" s="2713"/>
      <c r="K112" s="2713"/>
      <c r="L112" s="2714"/>
      <c r="M112" s="2713"/>
      <c r="N112" s="2713"/>
      <c r="O112" s="2714"/>
      <c r="P112" s="2713"/>
      <c r="Q112" s="2713"/>
      <c r="R112" s="2715"/>
    </row>
    <row r="113" spans="2:18" s="907" customFormat="1">
      <c r="B113" s="2713"/>
      <c r="C113" s="2713"/>
      <c r="D113" s="2713"/>
      <c r="E113" s="2713"/>
      <c r="F113" s="2713"/>
      <c r="G113" s="2714"/>
      <c r="H113" s="2713"/>
      <c r="I113" s="2714"/>
      <c r="J113" s="2713"/>
      <c r="K113" s="2713"/>
      <c r="L113" s="2714"/>
      <c r="M113" s="2713"/>
      <c r="N113" s="2713"/>
      <c r="O113" s="2714"/>
      <c r="P113" s="2713"/>
      <c r="Q113" s="2713"/>
      <c r="R113" s="2715"/>
    </row>
    <row r="114" spans="2:18" s="907" customFormat="1">
      <c r="B114" s="2713"/>
      <c r="C114" s="2713"/>
      <c r="D114" s="2713"/>
      <c r="E114" s="2713"/>
      <c r="F114" s="2713"/>
      <c r="G114" s="2714"/>
      <c r="H114" s="2713"/>
      <c r="I114" s="2714"/>
      <c r="J114" s="2713"/>
      <c r="K114" s="2713"/>
      <c r="L114" s="2714"/>
      <c r="M114" s="2713"/>
      <c r="N114" s="2713"/>
      <c r="O114" s="2714"/>
      <c r="P114" s="2713"/>
      <c r="Q114" s="2713"/>
      <c r="R114" s="2715"/>
    </row>
    <row r="115" spans="2:18" s="907" customFormat="1">
      <c r="B115" s="2713"/>
      <c r="C115" s="2713"/>
      <c r="D115" s="2713"/>
      <c r="E115" s="2713"/>
      <c r="F115" s="2713"/>
      <c r="G115" s="2714"/>
      <c r="H115" s="2713"/>
      <c r="I115" s="2714"/>
      <c r="J115" s="2713"/>
      <c r="K115" s="2713"/>
      <c r="L115" s="2714"/>
      <c r="M115" s="2713"/>
      <c r="N115" s="2713"/>
      <c r="O115" s="2714"/>
      <c r="P115" s="2713"/>
      <c r="Q115" s="2713"/>
      <c r="R115" s="2715"/>
    </row>
    <row r="116" spans="2:18" s="907" customFormat="1">
      <c r="B116" s="2713"/>
      <c r="C116" s="2713"/>
      <c r="D116" s="2713"/>
      <c r="E116" s="2713"/>
      <c r="F116" s="2713"/>
      <c r="G116" s="2714"/>
      <c r="H116" s="2713"/>
      <c r="I116" s="2714"/>
      <c r="J116" s="2713"/>
      <c r="K116" s="2713"/>
      <c r="L116" s="2714"/>
      <c r="M116" s="2713"/>
      <c r="N116" s="2713"/>
      <c r="O116" s="2714"/>
      <c r="P116" s="2713"/>
      <c r="Q116" s="2713"/>
      <c r="R116" s="2715"/>
    </row>
    <row r="117" spans="2:18" s="907" customFormat="1">
      <c r="B117" s="2713"/>
      <c r="C117" s="2713"/>
      <c r="D117" s="2713"/>
      <c r="E117" s="2713"/>
      <c r="F117" s="2713"/>
      <c r="G117" s="2714"/>
      <c r="H117" s="2713"/>
      <c r="I117" s="2714"/>
      <c r="J117" s="2713"/>
      <c r="K117" s="2713"/>
      <c r="L117" s="2714"/>
      <c r="M117" s="2713"/>
      <c r="N117" s="2713"/>
      <c r="O117" s="2714"/>
      <c r="P117" s="2713"/>
      <c r="Q117" s="2713"/>
      <c r="R117" s="2715"/>
    </row>
    <row r="118" spans="2:18" s="907" customFormat="1">
      <c r="B118" s="2713"/>
      <c r="C118" s="2713"/>
      <c r="D118" s="2713"/>
      <c r="E118" s="2713"/>
      <c r="F118" s="2713"/>
      <c r="G118" s="2714"/>
      <c r="H118" s="2713"/>
      <c r="I118" s="2714"/>
      <c r="J118" s="2713"/>
      <c r="K118" s="2713"/>
      <c r="L118" s="2714"/>
      <c r="M118" s="2713"/>
      <c r="N118" s="2713"/>
      <c r="O118" s="2714"/>
      <c r="P118" s="2713"/>
      <c r="Q118" s="2713"/>
      <c r="R118" s="2715"/>
    </row>
    <row r="119" spans="2:18" s="907" customFormat="1">
      <c r="B119" s="2713"/>
      <c r="C119" s="2713"/>
      <c r="D119" s="2713"/>
      <c r="E119" s="2713"/>
      <c r="F119" s="2713"/>
      <c r="G119" s="2714"/>
      <c r="H119" s="2713"/>
      <c r="I119" s="2714"/>
      <c r="J119" s="2713"/>
      <c r="K119" s="2713"/>
      <c r="L119" s="2714"/>
      <c r="M119" s="2713"/>
      <c r="N119" s="2713"/>
      <c r="O119" s="2714"/>
      <c r="P119" s="2713"/>
      <c r="Q119" s="2713"/>
      <c r="R119" s="2715"/>
    </row>
    <row r="120" spans="2:18" s="907" customFormat="1">
      <c r="B120" s="2713"/>
      <c r="C120" s="2713"/>
      <c r="D120" s="2713"/>
      <c r="E120" s="2713"/>
      <c r="F120" s="2713"/>
      <c r="G120" s="2714"/>
      <c r="H120" s="2713"/>
      <c r="I120" s="2714"/>
      <c r="J120" s="2713"/>
      <c r="K120" s="2713"/>
      <c r="L120" s="2714"/>
      <c r="M120" s="2713"/>
      <c r="N120" s="2713"/>
      <c r="O120" s="2714"/>
      <c r="P120" s="2713"/>
      <c r="Q120" s="2713"/>
      <c r="R120" s="2715"/>
    </row>
    <row r="121" spans="2:18" s="907" customFormat="1">
      <c r="B121" s="2713"/>
      <c r="C121" s="2713"/>
      <c r="D121" s="2713"/>
      <c r="E121" s="2713"/>
      <c r="F121" s="2713"/>
      <c r="G121" s="2714"/>
      <c r="H121" s="2713"/>
      <c r="I121" s="2714"/>
      <c r="J121" s="2713"/>
      <c r="K121" s="2713"/>
      <c r="L121" s="2714"/>
      <c r="M121" s="2713"/>
      <c r="N121" s="2713"/>
      <c r="O121" s="2714"/>
      <c r="P121" s="2713"/>
      <c r="Q121" s="2713"/>
      <c r="R121" s="2715"/>
    </row>
    <row r="122" spans="2:18" s="907" customFormat="1">
      <c r="B122" s="2713"/>
      <c r="C122" s="2713"/>
      <c r="D122" s="2713"/>
      <c r="E122" s="2713"/>
      <c r="F122" s="2713"/>
      <c r="G122" s="2714"/>
      <c r="H122" s="2713"/>
      <c r="I122" s="2714"/>
      <c r="J122" s="2713"/>
      <c r="K122" s="2713"/>
      <c r="L122" s="2714"/>
      <c r="M122" s="2713"/>
      <c r="N122" s="2713"/>
      <c r="O122" s="2714"/>
      <c r="P122" s="2713"/>
      <c r="Q122" s="2713"/>
      <c r="R122" s="2715"/>
    </row>
    <row r="123" spans="2:18" s="907" customFormat="1">
      <c r="B123" s="2713"/>
      <c r="C123" s="2713"/>
      <c r="D123" s="2713"/>
      <c r="E123" s="2713"/>
      <c r="F123" s="2713"/>
      <c r="G123" s="2714"/>
      <c r="H123" s="2713"/>
      <c r="I123" s="2714"/>
      <c r="J123" s="2713"/>
      <c r="K123" s="2713"/>
      <c r="L123" s="2714"/>
      <c r="M123" s="2713"/>
      <c r="N123" s="2713"/>
      <c r="O123" s="2714"/>
      <c r="P123" s="2713"/>
      <c r="Q123" s="2713"/>
      <c r="R123" s="2715"/>
    </row>
    <row r="124" spans="2:18" s="907" customFormat="1">
      <c r="B124" s="2713"/>
      <c r="C124" s="2713"/>
      <c r="D124" s="2713"/>
      <c r="E124" s="2713"/>
      <c r="F124" s="2713"/>
      <c r="G124" s="2714"/>
      <c r="H124" s="2713"/>
      <c r="I124" s="2714"/>
      <c r="J124" s="2713"/>
      <c r="K124" s="2713"/>
      <c r="L124" s="2714"/>
      <c r="M124" s="2713"/>
      <c r="N124" s="2713"/>
      <c r="O124" s="2714"/>
      <c r="P124" s="2713"/>
      <c r="Q124" s="2713"/>
      <c r="R124" s="2715"/>
    </row>
    <row r="125" spans="2:18" s="907" customFormat="1">
      <c r="B125" s="2713"/>
      <c r="C125" s="2713"/>
      <c r="D125" s="2713"/>
      <c r="E125" s="2713"/>
      <c r="F125" s="2713"/>
      <c r="G125" s="2714"/>
      <c r="H125" s="2713"/>
      <c r="I125" s="2714"/>
      <c r="J125" s="2713"/>
      <c r="K125" s="2713"/>
      <c r="L125" s="2714"/>
      <c r="M125" s="2713"/>
      <c r="N125" s="2713"/>
      <c r="O125" s="2714"/>
      <c r="P125" s="2713"/>
      <c r="Q125" s="2713"/>
      <c r="R125" s="2715"/>
    </row>
    <row r="126" spans="2:18" s="907" customFormat="1">
      <c r="B126" s="2713"/>
      <c r="C126" s="2713"/>
      <c r="D126" s="2713"/>
      <c r="E126" s="2713"/>
      <c r="F126" s="2713"/>
      <c r="G126" s="2714"/>
      <c r="H126" s="2713"/>
      <c r="I126" s="2714"/>
      <c r="J126" s="2713"/>
      <c r="K126" s="2713"/>
      <c r="L126" s="2714"/>
      <c r="M126" s="2713"/>
      <c r="N126" s="2713"/>
      <c r="O126" s="2714"/>
      <c r="P126" s="2713"/>
      <c r="Q126" s="2713"/>
      <c r="R126" s="2715"/>
    </row>
    <row r="127" spans="2:18" s="907" customFormat="1">
      <c r="B127" s="2713"/>
      <c r="C127" s="2713"/>
      <c r="D127" s="2713"/>
      <c r="E127" s="2713"/>
      <c r="F127" s="2713"/>
      <c r="G127" s="2714"/>
      <c r="H127" s="2713"/>
      <c r="I127" s="2714"/>
      <c r="J127" s="2713"/>
      <c r="K127" s="2713"/>
      <c r="L127" s="2714"/>
      <c r="M127" s="2713"/>
      <c r="N127" s="2713"/>
      <c r="O127" s="2714"/>
      <c r="P127" s="2713"/>
      <c r="Q127" s="2713"/>
      <c r="R127" s="2715"/>
    </row>
    <row r="128" spans="2:18" s="907" customFormat="1">
      <c r="B128" s="2713"/>
      <c r="C128" s="2713"/>
      <c r="D128" s="2713"/>
      <c r="E128" s="2713"/>
      <c r="F128" s="2713"/>
      <c r="G128" s="2714"/>
      <c r="H128" s="2713"/>
      <c r="I128" s="2714"/>
      <c r="J128" s="2713"/>
      <c r="K128" s="2713"/>
      <c r="L128" s="2714"/>
      <c r="M128" s="2713"/>
      <c r="N128" s="2713"/>
      <c r="O128" s="2714"/>
      <c r="P128" s="2713"/>
      <c r="Q128" s="2713"/>
      <c r="R128" s="2715"/>
    </row>
    <row r="129" spans="2:18" s="907" customFormat="1">
      <c r="B129" s="2713"/>
      <c r="C129" s="2713"/>
      <c r="D129" s="2713"/>
      <c r="E129" s="2713"/>
      <c r="F129" s="2713"/>
      <c r="G129" s="2714"/>
      <c r="H129" s="2713"/>
      <c r="I129" s="2714"/>
      <c r="J129" s="2713"/>
      <c r="K129" s="2713"/>
      <c r="L129" s="2714"/>
      <c r="M129" s="2713"/>
      <c r="N129" s="2713"/>
      <c r="O129" s="2714"/>
      <c r="P129" s="2713"/>
      <c r="Q129" s="2713"/>
      <c r="R129" s="2715"/>
    </row>
    <row r="130" spans="2:18" s="907" customFormat="1">
      <c r="B130" s="2713"/>
      <c r="C130" s="2713"/>
      <c r="D130" s="2713"/>
      <c r="E130" s="2713"/>
      <c r="F130" s="2713"/>
      <c r="G130" s="2714"/>
      <c r="H130" s="2713"/>
      <c r="I130" s="2714"/>
      <c r="J130" s="2713"/>
      <c r="K130" s="2713"/>
      <c r="L130" s="2714"/>
      <c r="M130" s="2713"/>
      <c r="N130" s="2713"/>
      <c r="O130" s="2714"/>
      <c r="P130" s="2713"/>
      <c r="Q130" s="2713"/>
      <c r="R130" s="2715"/>
    </row>
    <row r="131" spans="2:18" s="907" customFormat="1">
      <c r="B131" s="2713"/>
      <c r="C131" s="2713"/>
      <c r="D131" s="2713"/>
      <c r="E131" s="2713"/>
      <c r="F131" s="2713"/>
      <c r="G131" s="2714"/>
      <c r="H131" s="2713"/>
      <c r="I131" s="2714"/>
      <c r="J131" s="2713"/>
      <c r="K131" s="2713"/>
      <c r="L131" s="2714"/>
      <c r="M131" s="2713"/>
      <c r="N131" s="2713"/>
      <c r="O131" s="2714"/>
      <c r="P131" s="2713"/>
      <c r="Q131" s="2713"/>
      <c r="R131" s="2715"/>
    </row>
    <row r="132" spans="2:18" s="907" customFormat="1">
      <c r="B132" s="2713"/>
      <c r="C132" s="2713"/>
      <c r="D132" s="2713"/>
      <c r="E132" s="2713"/>
      <c r="F132" s="2713"/>
      <c r="G132" s="2714"/>
      <c r="H132" s="2713"/>
      <c r="I132" s="2714"/>
      <c r="J132" s="2713"/>
      <c r="K132" s="2713"/>
      <c r="L132" s="2714"/>
      <c r="M132" s="2713"/>
      <c r="N132" s="2713"/>
      <c r="O132" s="2714"/>
      <c r="P132" s="2713"/>
      <c r="Q132" s="2713"/>
      <c r="R132" s="2715"/>
    </row>
    <row r="133" spans="2:18" s="907" customFormat="1">
      <c r="B133" s="2713"/>
      <c r="C133" s="2713"/>
      <c r="D133" s="2713"/>
      <c r="E133" s="2713"/>
      <c r="F133" s="2713"/>
      <c r="G133" s="2714"/>
      <c r="H133" s="2713"/>
      <c r="I133" s="2714"/>
      <c r="J133" s="2713"/>
      <c r="K133" s="2713"/>
      <c r="L133" s="2714"/>
      <c r="M133" s="2713"/>
      <c r="N133" s="2713"/>
      <c r="O133" s="2714"/>
      <c r="P133" s="2713"/>
      <c r="Q133" s="2713"/>
      <c r="R133" s="2715"/>
    </row>
    <row r="134" spans="2:18" s="907" customFormat="1">
      <c r="B134" s="2713"/>
      <c r="C134" s="2713"/>
      <c r="D134" s="2713"/>
      <c r="E134" s="2713"/>
      <c r="F134" s="2713"/>
      <c r="G134" s="2714"/>
      <c r="H134" s="2713"/>
      <c r="I134" s="2714"/>
      <c r="J134" s="2713"/>
      <c r="K134" s="2713"/>
      <c r="L134" s="2714"/>
      <c r="M134" s="2713"/>
      <c r="N134" s="2713"/>
      <c r="O134" s="2714"/>
      <c r="P134" s="2713"/>
      <c r="Q134" s="2713"/>
      <c r="R134" s="2715"/>
    </row>
    <row r="135" spans="2:18" s="907" customFormat="1">
      <c r="B135" s="2713"/>
      <c r="C135" s="2713"/>
      <c r="D135" s="2713"/>
      <c r="E135" s="2713"/>
      <c r="F135" s="2713"/>
      <c r="G135" s="2714"/>
      <c r="H135" s="2713"/>
      <c r="I135" s="2714"/>
      <c r="J135" s="2713"/>
      <c r="K135" s="2713"/>
      <c r="L135" s="2714"/>
      <c r="M135" s="2713"/>
      <c r="N135" s="2713"/>
      <c r="O135" s="2714"/>
      <c r="P135" s="2713"/>
      <c r="Q135" s="2713"/>
      <c r="R135" s="2715"/>
    </row>
    <row r="136" spans="2:18" s="907" customFormat="1">
      <c r="B136" s="2713"/>
      <c r="C136" s="2713"/>
      <c r="D136" s="2713"/>
      <c r="E136" s="2713"/>
      <c r="F136" s="2713"/>
      <c r="G136" s="2714"/>
      <c r="H136" s="2713"/>
      <c r="I136" s="2714"/>
      <c r="J136" s="2713"/>
      <c r="K136" s="2713"/>
      <c r="L136" s="2714"/>
      <c r="M136" s="2713"/>
      <c r="N136" s="2713"/>
      <c r="O136" s="2714"/>
      <c r="P136" s="2713"/>
      <c r="Q136" s="2713"/>
      <c r="R136" s="2715"/>
    </row>
    <row r="137" spans="2:18" s="907" customFormat="1">
      <c r="B137" s="2713"/>
      <c r="C137" s="2713"/>
      <c r="D137" s="2713"/>
      <c r="E137" s="2713"/>
      <c r="F137" s="2713"/>
      <c r="G137" s="2714"/>
      <c r="H137" s="2713"/>
      <c r="I137" s="2714"/>
      <c r="J137" s="2713"/>
      <c r="K137" s="2713"/>
      <c r="L137" s="2714"/>
      <c r="M137" s="2713"/>
      <c r="N137" s="2713"/>
      <c r="O137" s="2714"/>
      <c r="P137" s="2713"/>
      <c r="Q137" s="2713"/>
      <c r="R137" s="2715"/>
    </row>
    <row r="138" spans="2:18" s="907" customFormat="1">
      <c r="B138" s="2713"/>
      <c r="C138" s="2713"/>
      <c r="D138" s="2713"/>
      <c r="E138" s="2713"/>
      <c r="F138" s="2713"/>
      <c r="G138" s="2714"/>
      <c r="H138" s="2713"/>
      <c r="I138" s="2714"/>
      <c r="J138" s="2713"/>
      <c r="K138" s="2713"/>
      <c r="L138" s="2714"/>
      <c r="M138" s="2713"/>
      <c r="N138" s="2713"/>
      <c r="O138" s="2714"/>
      <c r="P138" s="2713"/>
      <c r="Q138" s="2713"/>
      <c r="R138" s="2715"/>
    </row>
    <row r="139" spans="2:18" s="907" customFormat="1">
      <c r="B139" s="2713"/>
      <c r="C139" s="2713"/>
      <c r="D139" s="2713"/>
      <c r="E139" s="2713"/>
      <c r="F139" s="2713"/>
      <c r="G139" s="2714"/>
      <c r="H139" s="2713"/>
      <c r="I139" s="2714"/>
      <c r="J139" s="2713"/>
      <c r="K139" s="2713"/>
      <c r="L139" s="2714"/>
      <c r="M139" s="2713"/>
      <c r="N139" s="2713"/>
      <c r="O139" s="2714"/>
      <c r="P139" s="2713"/>
      <c r="Q139" s="2713"/>
      <c r="R139" s="2715"/>
    </row>
    <row r="140" spans="2:18" s="907" customFormat="1">
      <c r="B140" s="2713"/>
      <c r="C140" s="2713"/>
      <c r="D140" s="2713"/>
      <c r="E140" s="2713"/>
      <c r="F140" s="2713"/>
      <c r="G140" s="2714"/>
      <c r="H140" s="2713"/>
      <c r="I140" s="2714"/>
      <c r="J140" s="2713"/>
      <c r="K140" s="2713"/>
      <c r="L140" s="2714"/>
      <c r="M140" s="2713"/>
      <c r="N140" s="2713"/>
      <c r="O140" s="2714"/>
      <c r="P140" s="2713"/>
      <c r="Q140" s="2713"/>
      <c r="R140" s="2715"/>
    </row>
    <row r="141" spans="2:18" s="907" customFormat="1">
      <c r="B141" s="2713"/>
      <c r="C141" s="2713"/>
      <c r="D141" s="2713"/>
      <c r="E141" s="2713"/>
      <c r="F141" s="2713"/>
      <c r="G141" s="2714"/>
      <c r="H141" s="2713"/>
      <c r="I141" s="2714"/>
      <c r="J141" s="2713"/>
      <c r="K141" s="2713"/>
      <c r="L141" s="2714"/>
      <c r="M141" s="2713"/>
      <c r="N141" s="2713"/>
      <c r="O141" s="2714"/>
      <c r="P141" s="2713"/>
      <c r="Q141" s="2713"/>
      <c r="R141" s="2715"/>
    </row>
    <row r="142" spans="2:18" s="907" customFormat="1">
      <c r="B142" s="2713"/>
      <c r="C142" s="2713"/>
      <c r="D142" s="2713"/>
      <c r="E142" s="2713"/>
      <c r="F142" s="2713"/>
      <c r="G142" s="2714"/>
      <c r="H142" s="2713"/>
      <c r="I142" s="2714"/>
      <c r="J142" s="2713"/>
      <c r="K142" s="2713"/>
      <c r="L142" s="2714"/>
      <c r="M142" s="2713"/>
      <c r="N142" s="2713"/>
      <c r="O142" s="2714"/>
      <c r="P142" s="2713"/>
      <c r="Q142" s="2713"/>
      <c r="R142" s="2715"/>
    </row>
    <row r="143" spans="2:18" s="907" customFormat="1">
      <c r="B143" s="2713"/>
      <c r="C143" s="2713"/>
      <c r="D143" s="2713"/>
      <c r="E143" s="2713"/>
      <c r="F143" s="2713"/>
      <c r="G143" s="2714"/>
      <c r="H143" s="2713"/>
      <c r="I143" s="2714"/>
      <c r="J143" s="2713"/>
      <c r="K143" s="2713"/>
      <c r="L143" s="2714"/>
      <c r="M143" s="2713"/>
      <c r="N143" s="2713"/>
      <c r="O143" s="2714"/>
      <c r="P143" s="2713"/>
      <c r="Q143" s="2713"/>
      <c r="R143" s="2715"/>
    </row>
    <row r="144" spans="2:18" s="907" customFormat="1">
      <c r="B144" s="2713"/>
      <c r="C144" s="2713"/>
      <c r="D144" s="2713"/>
      <c r="E144" s="2713"/>
      <c r="F144" s="2713"/>
      <c r="G144" s="2714"/>
      <c r="H144" s="2713"/>
      <c r="I144" s="2714"/>
      <c r="J144" s="2713"/>
      <c r="K144" s="2713"/>
      <c r="L144" s="2714"/>
      <c r="M144" s="2713"/>
      <c r="N144" s="2713"/>
      <c r="O144" s="2714"/>
      <c r="P144" s="2713"/>
      <c r="Q144" s="2713"/>
      <c r="R144" s="2715"/>
    </row>
    <row r="145" spans="2:18" s="907" customFormat="1">
      <c r="B145" s="2713"/>
      <c r="C145" s="2713"/>
      <c r="D145" s="2713"/>
      <c r="E145" s="2713"/>
      <c r="F145" s="2713"/>
      <c r="G145" s="2714"/>
      <c r="H145" s="2713"/>
      <c r="I145" s="2714"/>
      <c r="J145" s="2713"/>
      <c r="K145" s="2713"/>
      <c r="L145" s="2714"/>
      <c r="M145" s="2713"/>
      <c r="N145" s="2713"/>
      <c r="O145" s="2714"/>
      <c r="P145" s="2713"/>
      <c r="Q145" s="2713"/>
      <c r="R145" s="2715"/>
    </row>
    <row r="146" spans="2:18" s="907" customFormat="1">
      <c r="B146" s="2713"/>
      <c r="C146" s="2713"/>
      <c r="D146" s="2713"/>
      <c r="E146" s="2713"/>
      <c r="F146" s="2713"/>
      <c r="G146" s="2714"/>
      <c r="H146" s="2713"/>
      <c r="I146" s="2714"/>
      <c r="J146" s="2713"/>
      <c r="K146" s="2713"/>
      <c r="L146" s="2714"/>
      <c r="M146" s="2713"/>
      <c r="N146" s="2713"/>
      <c r="O146" s="2714"/>
      <c r="P146" s="2713"/>
      <c r="Q146" s="2713"/>
      <c r="R146" s="2715"/>
    </row>
    <row r="147" spans="2:18" s="907" customFormat="1">
      <c r="B147" s="2713"/>
      <c r="C147" s="2713"/>
      <c r="D147" s="2713"/>
      <c r="E147" s="2713"/>
      <c r="F147" s="2713"/>
      <c r="G147" s="2714"/>
      <c r="H147" s="2713"/>
      <c r="I147" s="2714"/>
      <c r="J147" s="2713"/>
      <c r="K147" s="2713"/>
      <c r="L147" s="2714"/>
      <c r="M147" s="2713"/>
      <c r="N147" s="2713"/>
      <c r="O147" s="2714"/>
      <c r="P147" s="2713"/>
      <c r="Q147" s="2713"/>
      <c r="R147" s="2715"/>
    </row>
    <row r="148" spans="2:18" s="907" customFormat="1">
      <c r="B148" s="2713"/>
      <c r="C148" s="2713"/>
      <c r="D148" s="2713"/>
      <c r="E148" s="2713"/>
      <c r="F148" s="2713"/>
      <c r="G148" s="2714"/>
      <c r="H148" s="2713"/>
      <c r="I148" s="2714"/>
      <c r="J148" s="2713"/>
      <c r="K148" s="2713"/>
      <c r="L148" s="2714"/>
      <c r="M148" s="2713"/>
      <c r="N148" s="2713"/>
      <c r="O148" s="2714"/>
      <c r="P148" s="2713"/>
      <c r="Q148" s="2713"/>
      <c r="R148" s="2715"/>
    </row>
    <row r="149" spans="2:18" s="907" customFormat="1">
      <c r="B149" s="2713"/>
      <c r="C149" s="2713"/>
      <c r="D149" s="2713"/>
      <c r="E149" s="2713"/>
      <c r="F149" s="2713"/>
      <c r="G149" s="2714"/>
      <c r="H149" s="2713"/>
      <c r="I149" s="2714"/>
      <c r="J149" s="2713"/>
      <c r="K149" s="2713"/>
      <c r="L149" s="2714"/>
      <c r="M149" s="2713"/>
      <c r="N149" s="2713"/>
      <c r="O149" s="2714"/>
      <c r="P149" s="2713"/>
      <c r="Q149" s="2713"/>
      <c r="R149" s="2715"/>
    </row>
    <row r="150" spans="2:18" s="907" customFormat="1">
      <c r="B150" s="2713"/>
      <c r="C150" s="2713"/>
      <c r="D150" s="2713"/>
      <c r="E150" s="2713"/>
      <c r="F150" s="2713"/>
      <c r="G150" s="2714"/>
      <c r="H150" s="2713"/>
      <c r="I150" s="2714"/>
      <c r="J150" s="2713"/>
      <c r="K150" s="2713"/>
      <c r="L150" s="2714"/>
      <c r="M150" s="2713"/>
      <c r="N150" s="2713"/>
      <c r="O150" s="2714"/>
      <c r="P150" s="2713"/>
      <c r="Q150" s="2713"/>
      <c r="R150" s="2715"/>
    </row>
    <row r="151" spans="2:18" s="907" customFormat="1">
      <c r="B151" s="2713"/>
      <c r="C151" s="2713"/>
      <c r="D151" s="2713"/>
      <c r="E151" s="2713"/>
      <c r="F151" s="2713"/>
      <c r="G151" s="2714"/>
      <c r="H151" s="2713"/>
      <c r="I151" s="2714"/>
      <c r="J151" s="2713"/>
      <c r="K151" s="2713"/>
      <c r="L151" s="2714"/>
      <c r="M151" s="2713"/>
      <c r="N151" s="2713"/>
      <c r="O151" s="2714"/>
      <c r="P151" s="2713"/>
      <c r="Q151" s="2713"/>
      <c r="R151" s="2715"/>
    </row>
    <row r="152" spans="2:18" s="907" customFormat="1">
      <c r="B152" s="2713"/>
      <c r="C152" s="2713"/>
      <c r="D152" s="2713"/>
      <c r="E152" s="2713"/>
      <c r="F152" s="2713"/>
      <c r="G152" s="2714"/>
      <c r="H152" s="2713"/>
      <c r="I152" s="2714"/>
      <c r="J152" s="2713"/>
      <c r="K152" s="2713"/>
      <c r="L152" s="2714"/>
      <c r="M152" s="2713"/>
      <c r="N152" s="2713"/>
      <c r="O152" s="2714"/>
      <c r="P152" s="2713"/>
      <c r="Q152" s="2713"/>
      <c r="R152" s="2715"/>
    </row>
    <row r="153" spans="2:18" s="907" customFormat="1">
      <c r="B153" s="2713"/>
      <c r="C153" s="2713"/>
      <c r="D153" s="2713"/>
      <c r="E153" s="2713"/>
      <c r="F153" s="2713"/>
      <c r="G153" s="2714"/>
      <c r="H153" s="2713"/>
      <c r="I153" s="2714"/>
      <c r="J153" s="2713"/>
      <c r="K153" s="2713"/>
      <c r="L153" s="2714"/>
      <c r="M153" s="2713"/>
      <c r="N153" s="2713"/>
      <c r="O153" s="2714"/>
      <c r="P153" s="2713"/>
      <c r="Q153" s="2713"/>
      <c r="R153" s="2715"/>
    </row>
    <row r="154" spans="2:18" s="907" customFormat="1">
      <c r="B154" s="2713"/>
      <c r="C154" s="2713"/>
      <c r="D154" s="2713"/>
      <c r="E154" s="2713"/>
      <c r="F154" s="2713"/>
      <c r="G154" s="2714"/>
      <c r="H154" s="2713"/>
      <c r="I154" s="2714"/>
      <c r="J154" s="2713"/>
      <c r="K154" s="2713"/>
      <c r="L154" s="2714"/>
      <c r="M154" s="2713"/>
      <c r="N154" s="2713"/>
      <c r="O154" s="2714"/>
      <c r="P154" s="2713"/>
      <c r="Q154" s="2713"/>
      <c r="R154" s="2715"/>
    </row>
    <row r="155" spans="2:18" s="907" customFormat="1">
      <c r="B155" s="2713"/>
      <c r="C155" s="2713"/>
      <c r="D155" s="2713"/>
      <c r="E155" s="2713"/>
      <c r="F155" s="2713"/>
      <c r="G155" s="2714"/>
      <c r="H155" s="2713"/>
      <c r="I155" s="2714"/>
      <c r="J155" s="2713"/>
      <c r="K155" s="2713"/>
      <c r="L155" s="2714"/>
      <c r="M155" s="2713"/>
      <c r="N155" s="2713"/>
      <c r="O155" s="2714"/>
      <c r="P155" s="2713"/>
      <c r="Q155" s="2713"/>
      <c r="R155" s="2715"/>
    </row>
    <row r="156" spans="2:18" s="907" customFormat="1">
      <c r="B156" s="2713"/>
      <c r="C156" s="2713"/>
      <c r="D156" s="2713"/>
      <c r="E156" s="2713"/>
      <c r="F156" s="2713"/>
      <c r="G156" s="2714"/>
      <c r="H156" s="2713"/>
      <c r="I156" s="2714"/>
      <c r="J156" s="2713"/>
      <c r="K156" s="2713"/>
      <c r="L156" s="2714"/>
      <c r="M156" s="2713"/>
      <c r="N156" s="2713"/>
      <c r="O156" s="2714"/>
      <c r="P156" s="2713"/>
      <c r="Q156" s="2713"/>
      <c r="R156" s="2715"/>
    </row>
    <row r="157" spans="2:18" s="907" customFormat="1">
      <c r="B157" s="2713"/>
      <c r="C157" s="2713"/>
      <c r="D157" s="2713"/>
      <c r="E157" s="2713"/>
      <c r="F157" s="2713"/>
      <c r="G157" s="2714"/>
      <c r="H157" s="2713"/>
      <c r="I157" s="2714"/>
      <c r="J157" s="2713"/>
      <c r="K157" s="2713"/>
      <c r="L157" s="2714"/>
      <c r="M157" s="2713"/>
      <c r="N157" s="2713"/>
      <c r="O157" s="2714"/>
      <c r="P157" s="2713"/>
      <c r="Q157" s="2713"/>
      <c r="R157" s="2715"/>
    </row>
    <row r="158" spans="2:18" s="907" customFormat="1">
      <c r="B158" s="2713"/>
      <c r="C158" s="2713"/>
      <c r="D158" s="2713"/>
      <c r="E158" s="2713"/>
      <c r="F158" s="2713"/>
      <c r="G158" s="2714"/>
      <c r="H158" s="2713"/>
      <c r="I158" s="2714"/>
      <c r="J158" s="2713"/>
      <c r="K158" s="2713"/>
      <c r="L158" s="2714"/>
      <c r="M158" s="2713"/>
      <c r="N158" s="2713"/>
      <c r="O158" s="2714"/>
      <c r="P158" s="2713"/>
      <c r="Q158" s="2713"/>
      <c r="R158" s="2715"/>
    </row>
    <row r="159" spans="2:18" s="907" customFormat="1">
      <c r="B159" s="2713"/>
      <c r="C159" s="2713"/>
      <c r="D159" s="2713"/>
      <c r="E159" s="2713"/>
      <c r="F159" s="2713"/>
      <c r="G159" s="2714"/>
      <c r="H159" s="2713"/>
      <c r="I159" s="2714"/>
      <c r="J159" s="2713"/>
      <c r="K159" s="2713"/>
      <c r="L159" s="2714"/>
      <c r="M159" s="2713"/>
      <c r="N159" s="2713"/>
      <c r="O159" s="2714"/>
      <c r="P159" s="2713"/>
      <c r="Q159" s="2713"/>
      <c r="R159" s="2715"/>
    </row>
    <row r="160" spans="2:18" s="907" customFormat="1">
      <c r="B160" s="2713"/>
      <c r="C160" s="2713"/>
      <c r="D160" s="2713"/>
      <c r="E160" s="2713"/>
      <c r="F160" s="2713"/>
      <c r="G160" s="2714"/>
      <c r="H160" s="2713"/>
      <c r="I160" s="2714"/>
      <c r="J160" s="2713"/>
      <c r="K160" s="2713"/>
      <c r="L160" s="2714"/>
      <c r="M160" s="2713"/>
      <c r="N160" s="2713"/>
      <c r="O160" s="2714"/>
      <c r="P160" s="2713"/>
      <c r="Q160" s="2713"/>
      <c r="R160" s="2715"/>
    </row>
    <row r="161" spans="2:18" s="907" customFormat="1">
      <c r="B161" s="2713"/>
      <c r="C161" s="2713"/>
      <c r="D161" s="2713"/>
      <c r="E161" s="2713"/>
      <c r="F161" s="2713"/>
      <c r="G161" s="2714"/>
      <c r="H161" s="2713"/>
      <c r="I161" s="2714"/>
      <c r="J161" s="2713"/>
      <c r="K161" s="2713"/>
      <c r="L161" s="2714"/>
      <c r="M161" s="2713"/>
      <c r="N161" s="2713"/>
      <c r="O161" s="2714"/>
      <c r="P161" s="2713"/>
      <c r="Q161" s="2713"/>
      <c r="R161" s="2715"/>
    </row>
    <row r="162" spans="2:18" s="907" customFormat="1">
      <c r="B162" s="2713"/>
      <c r="C162" s="2713"/>
      <c r="D162" s="2713"/>
      <c r="E162" s="2713"/>
      <c r="F162" s="2713"/>
      <c r="G162" s="2714"/>
      <c r="H162" s="2713"/>
      <c r="I162" s="2714"/>
      <c r="J162" s="2713"/>
      <c r="K162" s="2713"/>
      <c r="L162" s="2714"/>
      <c r="M162" s="2713"/>
      <c r="N162" s="2713"/>
      <c r="O162" s="2714"/>
      <c r="P162" s="2713"/>
      <c r="Q162" s="2713"/>
      <c r="R162" s="2715"/>
    </row>
    <row r="163" spans="2:18" s="907" customFormat="1">
      <c r="B163" s="2713"/>
      <c r="C163" s="2713"/>
      <c r="D163" s="2713"/>
      <c r="E163" s="2713"/>
      <c r="F163" s="2713"/>
      <c r="G163" s="2714"/>
      <c r="H163" s="2713"/>
      <c r="I163" s="2714"/>
      <c r="J163" s="2713"/>
      <c r="K163" s="2713"/>
      <c r="L163" s="2714"/>
      <c r="M163" s="2713"/>
      <c r="N163" s="2713"/>
      <c r="O163" s="2714"/>
      <c r="P163" s="2713"/>
      <c r="Q163" s="2713"/>
      <c r="R163" s="2715"/>
    </row>
    <row r="164" spans="2:18" s="907" customFormat="1">
      <c r="B164" s="2713"/>
      <c r="C164" s="2713"/>
      <c r="D164" s="2713"/>
      <c r="E164" s="2713"/>
      <c r="F164" s="2713"/>
      <c r="G164" s="2714"/>
      <c r="H164" s="2713"/>
      <c r="I164" s="2714"/>
      <c r="J164" s="2713"/>
      <c r="K164" s="2713"/>
      <c r="L164" s="2714"/>
      <c r="M164" s="2713"/>
      <c r="N164" s="2713"/>
      <c r="O164" s="2714"/>
      <c r="P164" s="2713"/>
      <c r="Q164" s="2713"/>
      <c r="R164" s="2715"/>
    </row>
    <row r="165" spans="2:18" s="907" customFormat="1">
      <c r="B165" s="2713"/>
      <c r="C165" s="2713"/>
      <c r="D165" s="2713"/>
      <c r="E165" s="2713"/>
      <c r="F165" s="2713"/>
      <c r="G165" s="2714"/>
      <c r="H165" s="2713"/>
      <c r="I165" s="2714"/>
      <c r="J165" s="2713"/>
      <c r="K165" s="2713"/>
      <c r="L165" s="2714"/>
      <c r="M165" s="2713"/>
      <c r="N165" s="2713"/>
      <c r="O165" s="2714"/>
      <c r="P165" s="2713"/>
      <c r="Q165" s="2713"/>
      <c r="R165" s="2715"/>
    </row>
    <row r="166" spans="2:18" s="907" customFormat="1">
      <c r="B166" s="2713"/>
      <c r="C166" s="2713"/>
      <c r="D166" s="2713"/>
      <c r="E166" s="2713"/>
      <c r="F166" s="2713"/>
      <c r="G166" s="2714"/>
      <c r="H166" s="2713"/>
      <c r="I166" s="2714"/>
      <c r="J166" s="2713"/>
      <c r="K166" s="2713"/>
      <c r="L166" s="2714"/>
      <c r="M166" s="2713"/>
      <c r="N166" s="2713"/>
      <c r="O166" s="2714"/>
      <c r="P166" s="2713"/>
      <c r="Q166" s="2713"/>
      <c r="R166" s="2715"/>
    </row>
    <row r="167" spans="2:18" s="907" customFormat="1">
      <c r="B167" s="2713"/>
      <c r="C167" s="2713"/>
      <c r="D167" s="2713"/>
      <c r="E167" s="2713"/>
      <c r="F167" s="2713"/>
      <c r="G167" s="2714"/>
      <c r="H167" s="2713"/>
      <c r="I167" s="2714"/>
      <c r="J167" s="2713"/>
      <c r="K167" s="2713"/>
      <c r="L167" s="2714"/>
      <c r="M167" s="2713"/>
      <c r="N167" s="2713"/>
      <c r="O167" s="2714"/>
      <c r="P167" s="2713"/>
      <c r="Q167" s="2713"/>
      <c r="R167" s="2715"/>
    </row>
    <row r="168" spans="2:18" s="907" customFormat="1">
      <c r="B168" s="2713"/>
      <c r="C168" s="2713"/>
      <c r="D168" s="2713"/>
      <c r="E168" s="2713"/>
      <c r="F168" s="2713"/>
      <c r="G168" s="2714"/>
      <c r="H168" s="2713"/>
      <c r="I168" s="2714"/>
      <c r="J168" s="2713"/>
      <c r="K168" s="2713"/>
      <c r="L168" s="2714"/>
      <c r="M168" s="2713"/>
      <c r="N168" s="2713"/>
      <c r="O168" s="2714"/>
      <c r="P168" s="2713"/>
      <c r="Q168" s="2713"/>
      <c r="R168" s="2715"/>
    </row>
    <row r="169" spans="2:18" s="907" customFormat="1">
      <c r="B169" s="2713"/>
      <c r="C169" s="2713"/>
      <c r="D169" s="2713"/>
      <c r="E169" s="2713"/>
      <c r="F169" s="2713"/>
      <c r="G169" s="2714"/>
      <c r="H169" s="2713"/>
      <c r="I169" s="2714"/>
      <c r="J169" s="2713"/>
      <c r="K169" s="2713"/>
      <c r="L169" s="2714"/>
      <c r="M169" s="2713"/>
      <c r="N169" s="2713"/>
      <c r="O169" s="2714"/>
      <c r="P169" s="2713"/>
      <c r="Q169" s="2713"/>
      <c r="R169" s="2715"/>
    </row>
    <row r="170" spans="2:18" s="907" customFormat="1">
      <c r="B170" s="2713"/>
      <c r="C170" s="2713"/>
      <c r="D170" s="2713"/>
      <c r="E170" s="2713"/>
      <c r="F170" s="2713"/>
      <c r="G170" s="2714"/>
      <c r="H170" s="2713"/>
      <c r="I170" s="2714"/>
      <c r="J170" s="2713"/>
      <c r="K170" s="2713"/>
      <c r="L170" s="2714"/>
      <c r="M170" s="2713"/>
      <c r="N170" s="2713"/>
      <c r="O170" s="2714"/>
      <c r="P170" s="2713"/>
      <c r="Q170" s="2713"/>
      <c r="R170" s="2715"/>
    </row>
    <row r="171" spans="2:18" s="907" customFormat="1">
      <c r="B171" s="2713"/>
      <c r="C171" s="2713"/>
      <c r="D171" s="2713"/>
      <c r="E171" s="2713"/>
      <c r="F171" s="2713"/>
      <c r="G171" s="2714"/>
      <c r="H171" s="2713"/>
      <c r="I171" s="2714"/>
      <c r="J171" s="2713"/>
      <c r="K171" s="2713"/>
      <c r="L171" s="2714"/>
      <c r="M171" s="2713"/>
      <c r="N171" s="2713"/>
      <c r="O171" s="2714"/>
      <c r="P171" s="2713"/>
      <c r="Q171" s="2713"/>
      <c r="R171" s="2715"/>
    </row>
    <row r="172" spans="2:18" s="907" customFormat="1">
      <c r="B172" s="2713"/>
      <c r="C172" s="2713"/>
      <c r="D172" s="2713"/>
      <c r="E172" s="2713"/>
      <c r="F172" s="2713"/>
      <c r="G172" s="2714"/>
      <c r="H172" s="2713"/>
      <c r="I172" s="2714"/>
      <c r="J172" s="2713"/>
      <c r="K172" s="2713"/>
      <c r="L172" s="2714"/>
      <c r="M172" s="2713"/>
      <c r="N172" s="2713"/>
      <c r="O172" s="2714"/>
      <c r="P172" s="2713"/>
      <c r="Q172" s="2713"/>
      <c r="R172" s="2715"/>
    </row>
    <row r="173" spans="2:18" s="907" customFormat="1">
      <c r="B173" s="2713"/>
      <c r="C173" s="2713"/>
      <c r="D173" s="2713"/>
      <c r="E173" s="2713"/>
      <c r="F173" s="2713"/>
      <c r="G173" s="2714"/>
      <c r="H173" s="2713"/>
      <c r="I173" s="2714"/>
      <c r="J173" s="2713"/>
      <c r="K173" s="2713"/>
      <c r="L173" s="2714"/>
      <c r="M173" s="2713"/>
      <c r="N173" s="2713"/>
      <c r="O173" s="2714"/>
      <c r="P173" s="2713"/>
      <c r="Q173" s="2713"/>
      <c r="R173" s="2715"/>
    </row>
    <row r="174" spans="2:18" s="907" customFormat="1">
      <c r="B174" s="2713"/>
      <c r="C174" s="2713"/>
      <c r="D174" s="2713"/>
      <c r="E174" s="2713"/>
      <c r="F174" s="2713"/>
      <c r="G174" s="2714"/>
      <c r="H174" s="2713"/>
      <c r="I174" s="2714"/>
      <c r="J174" s="2713"/>
      <c r="K174" s="2713"/>
      <c r="L174" s="2714"/>
      <c r="M174" s="2713"/>
      <c r="N174" s="2713"/>
      <c r="O174" s="2714"/>
      <c r="P174" s="2713"/>
      <c r="Q174" s="2713"/>
      <c r="R174" s="2715"/>
    </row>
    <row r="175" spans="2:18" s="907" customFormat="1">
      <c r="B175" s="2713"/>
      <c r="C175" s="2713"/>
      <c r="D175" s="2713"/>
      <c r="E175" s="2713"/>
      <c r="F175" s="2713"/>
      <c r="G175" s="2714"/>
      <c r="H175" s="2713"/>
      <c r="I175" s="2714"/>
      <c r="J175" s="2713"/>
      <c r="K175" s="2713"/>
      <c r="L175" s="2714"/>
      <c r="M175" s="2713"/>
      <c r="N175" s="2713"/>
      <c r="O175" s="2714"/>
      <c r="P175" s="2713"/>
      <c r="Q175" s="2713"/>
      <c r="R175" s="2715"/>
    </row>
    <row r="176" spans="2:18" s="907" customFormat="1">
      <c r="B176" s="2713"/>
      <c r="C176" s="2713"/>
      <c r="D176" s="2713"/>
      <c r="E176" s="2713"/>
      <c r="F176" s="2713"/>
      <c r="G176" s="2714"/>
      <c r="H176" s="2713"/>
      <c r="I176" s="2714"/>
      <c r="J176" s="2713"/>
      <c r="K176" s="2713"/>
      <c r="L176" s="2714"/>
      <c r="M176" s="2713"/>
      <c r="N176" s="2713"/>
      <c r="O176" s="2714"/>
      <c r="P176" s="2713"/>
      <c r="Q176" s="2713"/>
      <c r="R176" s="2715"/>
    </row>
    <row r="177" spans="1:18" s="907" customFormat="1">
      <c r="B177" s="2713"/>
      <c r="C177" s="2713"/>
      <c r="D177" s="2713"/>
      <c r="E177" s="2713"/>
      <c r="F177" s="2713"/>
      <c r="G177" s="2714"/>
      <c r="H177" s="2713"/>
      <c r="I177" s="2714"/>
      <c r="J177" s="2713"/>
      <c r="K177" s="2713"/>
      <c r="L177" s="2714"/>
      <c r="M177" s="2713"/>
      <c r="N177" s="2713"/>
      <c r="O177" s="2714"/>
      <c r="P177" s="2713"/>
      <c r="Q177" s="2713"/>
      <c r="R177" s="2715"/>
    </row>
    <row r="178" spans="1:18" s="907" customFormat="1">
      <c r="B178" s="2713"/>
      <c r="C178" s="2713"/>
      <c r="D178" s="2713"/>
      <c r="E178" s="2713"/>
      <c r="F178" s="2713"/>
      <c r="G178" s="2714"/>
      <c r="H178" s="2713"/>
      <c r="I178" s="2714"/>
      <c r="J178" s="2713"/>
      <c r="K178" s="2713"/>
      <c r="L178" s="2714"/>
      <c r="M178" s="2713"/>
      <c r="N178" s="2713"/>
      <c r="O178" s="2714"/>
      <c r="P178" s="2713"/>
      <c r="Q178" s="2713"/>
      <c r="R178" s="2715"/>
    </row>
    <row r="179" spans="1:18" s="907" customFormat="1">
      <c r="B179" s="2713"/>
      <c r="C179" s="2713"/>
      <c r="D179" s="2713"/>
      <c r="E179" s="2713"/>
      <c r="F179" s="2713"/>
      <c r="G179" s="2714"/>
      <c r="H179" s="2713"/>
      <c r="I179" s="2714"/>
      <c r="J179" s="2713"/>
      <c r="K179" s="2713"/>
      <c r="L179" s="2714"/>
      <c r="M179" s="2713"/>
      <c r="N179" s="2713"/>
      <c r="O179" s="2714"/>
      <c r="P179" s="2713"/>
      <c r="Q179" s="2713"/>
      <c r="R179" s="2715"/>
    </row>
    <row r="180" spans="1:18" s="907" customFormat="1">
      <c r="B180" s="2713"/>
      <c r="C180" s="2713"/>
      <c r="D180" s="2713"/>
      <c r="E180" s="2713"/>
      <c r="F180" s="2713"/>
      <c r="G180" s="2714"/>
      <c r="H180" s="2713"/>
      <c r="I180" s="2714"/>
      <c r="J180" s="2713"/>
      <c r="K180" s="2713"/>
      <c r="L180" s="2714"/>
      <c r="M180" s="2713"/>
      <c r="N180" s="2713"/>
      <c r="O180" s="2714"/>
      <c r="P180" s="2713"/>
      <c r="Q180" s="2713"/>
      <c r="R180" s="2715"/>
    </row>
    <row r="181" spans="1:18" s="907" customFormat="1">
      <c r="B181" s="2713"/>
      <c r="C181" s="2713"/>
      <c r="D181" s="2713"/>
      <c r="E181" s="2713"/>
      <c r="F181" s="2713"/>
      <c r="G181" s="2714"/>
      <c r="H181" s="2713"/>
      <c r="I181" s="2714"/>
      <c r="J181" s="2713"/>
      <c r="K181" s="2713"/>
      <c r="L181" s="2714"/>
      <c r="M181" s="2713"/>
      <c r="N181" s="2713"/>
      <c r="O181" s="2714"/>
      <c r="P181" s="2713"/>
      <c r="Q181" s="2713"/>
      <c r="R181" s="2715"/>
    </row>
    <row r="182" spans="1:18" s="907" customFormat="1">
      <c r="B182" s="2713"/>
      <c r="C182" s="2713"/>
      <c r="D182" s="2713"/>
      <c r="E182" s="2713"/>
      <c r="F182" s="2713"/>
      <c r="G182" s="2714"/>
      <c r="H182" s="2713"/>
      <c r="I182" s="2714"/>
      <c r="J182" s="2713"/>
      <c r="K182" s="2713"/>
      <c r="L182" s="2714"/>
      <c r="M182" s="2713"/>
      <c r="N182" s="2713"/>
      <c r="O182" s="2714"/>
      <c r="P182" s="2713"/>
      <c r="Q182" s="2713"/>
      <c r="R182" s="2715"/>
    </row>
    <row r="183" spans="1:18" s="907" customFormat="1">
      <c r="B183" s="2713"/>
      <c r="C183" s="2713"/>
      <c r="D183" s="2713"/>
      <c r="E183" s="2713"/>
      <c r="F183" s="2713"/>
      <c r="G183" s="2714"/>
      <c r="H183" s="2713"/>
      <c r="I183" s="2714"/>
      <c r="J183" s="2713"/>
      <c r="K183" s="2713"/>
      <c r="L183" s="2714"/>
      <c r="M183" s="2713"/>
      <c r="N183" s="2713"/>
      <c r="O183" s="2714"/>
      <c r="P183" s="2713"/>
      <c r="Q183" s="2713"/>
      <c r="R183" s="2715"/>
    </row>
    <row r="184" spans="1:18" s="907" customFormat="1">
      <c r="B184" s="2713"/>
      <c r="C184" s="2713"/>
      <c r="D184" s="2713"/>
      <c r="E184" s="2713"/>
      <c r="F184" s="2713"/>
      <c r="G184" s="2714"/>
      <c r="H184" s="2713"/>
      <c r="I184" s="2714"/>
      <c r="J184" s="2713"/>
      <c r="K184" s="2713"/>
      <c r="L184" s="2714"/>
      <c r="M184" s="2713"/>
      <c r="N184" s="2713"/>
      <c r="O184" s="2714"/>
      <c r="P184" s="2713"/>
      <c r="Q184" s="2713"/>
      <c r="R184" s="2715"/>
    </row>
    <row r="185" spans="1:18" s="907"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7"/>
      <c r="B186" s="2713"/>
      <c r="C186" s="2713"/>
      <c r="E186" s="2713"/>
      <c r="F186" s="2713"/>
      <c r="G186" s="2714"/>
    </row>
    <row r="187" spans="1:18">
      <c r="A187" s="907"/>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39707.960000000006</v>
      </c>
      <c r="C1" s="2911"/>
      <c r="D1" s="2911"/>
      <c r="E1" s="2911"/>
      <c r="F1" s="2911"/>
      <c r="G1" s="2912"/>
      <c r="H1" s="2913"/>
      <c r="I1" s="2913"/>
      <c r="J1" s="2913"/>
      <c r="K1" s="2913"/>
    </row>
    <row r="2" spans="1:11" ht="16.5">
      <c r="A2" s="2734" t="s">
        <v>1319</v>
      </c>
      <c r="B2" s="2734">
        <f>SUM(C14:C23)</f>
        <v>6294.36</v>
      </c>
      <c r="C2" s="2911"/>
      <c r="D2" s="2911"/>
      <c r="E2" s="2911"/>
      <c r="F2" s="2911"/>
      <c r="G2" s="2912"/>
      <c r="H2" s="2913"/>
      <c r="I2" s="2913"/>
      <c r="J2" s="2913"/>
      <c r="K2" s="2913"/>
    </row>
    <row r="3" spans="1:11" ht="16.5">
      <c r="A3" s="2734" t="s">
        <v>1328</v>
      </c>
      <c r="B3" s="2736">
        <f>项目基本情况!D3</f>
        <v>44515</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68706</v>
      </c>
      <c r="C5" s="2734">
        <f ca="1">ROUND(B5*10000/$B$1,0)</f>
        <v>17303</v>
      </c>
      <c r="D5" s="2734">
        <f ca="1">ROUND(B5*10000/$B$2,0)</f>
        <v>109155</v>
      </c>
      <c r="E5" s="2911"/>
      <c r="F5" s="2912"/>
      <c r="G5" s="2912"/>
      <c r="H5" s="2913"/>
      <c r="I5" s="2913"/>
      <c r="J5" s="2913"/>
      <c r="K5" s="2913"/>
    </row>
    <row r="6" spans="1:11" ht="16.5">
      <c r="A6" s="2734" t="s">
        <v>1322</v>
      </c>
      <c r="B6" s="2734">
        <f ca="1">SUM(G14:G23)</f>
        <v>68706</v>
      </c>
      <c r="C6" s="2734">
        <f ca="1">ROUND(B6*10000/$B$1,0)</f>
        <v>17303</v>
      </c>
      <c r="D6" s="2734">
        <f ca="1">ROUND(B6*10000/$B$2,0)</f>
        <v>109155</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39707.960000000006</v>
      </c>
      <c r="C14" s="2740">
        <f>结果表!C118</f>
        <v>6294.36</v>
      </c>
      <c r="D14" s="2740">
        <f ca="1">结果表!H118</f>
        <v>68706</v>
      </c>
      <c r="E14" s="2740">
        <f ca="1">ROUND(D14*10000/B14,0)</f>
        <v>17303</v>
      </c>
      <c r="F14" s="2740">
        <f ca="1">ROUND(D14*10000/C14,0)</f>
        <v>109155</v>
      </c>
      <c r="G14" s="2740">
        <f ca="1">结果表!D122</f>
        <v>68706</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9"/>
      <c r="H15" s="1499"/>
      <c r="I15" s="2741"/>
      <c r="J15" s="2912"/>
      <c r="K15" s="2913"/>
    </row>
    <row r="16" spans="1:11" ht="16.5">
      <c r="A16" s="2739" t="s">
        <v>1314</v>
      </c>
      <c r="B16" s="2741"/>
      <c r="C16" s="2741"/>
      <c r="D16" s="2741"/>
      <c r="E16" s="2740" t="e">
        <f t="shared" si="0"/>
        <v>#DIV/0!</v>
      </c>
      <c r="F16" s="2740" t="e">
        <f t="shared" si="1"/>
        <v>#DIV/0!</v>
      </c>
      <c r="G16" s="1499"/>
      <c r="H16" s="1499"/>
      <c r="I16" s="2741"/>
      <c r="J16" s="2913"/>
      <c r="K16" s="2913"/>
    </row>
    <row r="17" spans="1:11" ht="16.5">
      <c r="A17" s="2739" t="s">
        <v>1313</v>
      </c>
      <c r="B17" s="2741"/>
      <c r="C17" s="2741"/>
      <c r="D17" s="2741"/>
      <c r="E17" s="2740" t="e">
        <f t="shared" si="0"/>
        <v>#DIV/0!</v>
      </c>
      <c r="F17" s="2740" t="e">
        <f t="shared" si="1"/>
        <v>#DIV/0!</v>
      </c>
      <c r="G17" s="1499"/>
      <c r="H17" s="1499"/>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90" zoomScaleNormal="100" zoomScaleSheetLayoutView="90" zoomScalePageLayoutView="80" workbookViewId="0">
      <selection activeCell="H22" sqref="H2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226" t="str">
        <f>项目基本情况!S2</f>
        <v>北京市房地产</v>
      </c>
      <c r="B2" s="3227"/>
      <c r="C2" s="3227"/>
      <c r="D2" s="3227"/>
      <c r="E2" s="3227"/>
      <c r="F2" s="3227"/>
      <c r="G2" s="3227"/>
      <c r="H2" s="3227"/>
      <c r="I2" s="3228"/>
    </row>
    <row r="3" spans="1:12" ht="12.75">
      <c r="A3" s="3230" t="s">
        <v>1950</v>
      </c>
      <c r="B3" s="3231"/>
      <c r="C3" s="3231"/>
      <c r="D3" s="3231"/>
      <c r="E3" s="3231"/>
      <c r="F3" s="3231"/>
      <c r="G3" s="3231"/>
      <c r="H3" s="3231"/>
      <c r="I3" s="3231"/>
    </row>
    <row r="4" spans="1:12" ht="14.25">
      <c r="A4" s="1939" t="s">
        <v>1951</v>
      </c>
      <c r="B4" s="1940" t="s">
        <v>1952</v>
      </c>
      <c r="C4" s="1941" t="s">
        <v>3088</v>
      </c>
      <c r="D4" s="1941" t="s">
        <v>3089</v>
      </c>
      <c r="E4" s="3232" t="s">
        <v>1953</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1954</v>
      </c>
      <c r="B5" s="3193">
        <v>25</v>
      </c>
      <c r="C5" s="3209"/>
      <c r="D5" s="3229"/>
      <c r="E5" s="136" t="s">
        <v>1955</v>
      </c>
      <c r="F5" s="1942"/>
      <c r="G5" s="1942"/>
      <c r="H5" s="1942"/>
      <c r="I5" s="1556"/>
    </row>
    <row r="6" spans="1:12" ht="12.75">
      <c r="A6" s="3206"/>
      <c r="B6" s="3193"/>
      <c r="C6" s="3210"/>
      <c r="D6" s="3229"/>
      <c r="E6" s="136" t="s">
        <v>1956</v>
      </c>
      <c r="F6" s="1942"/>
      <c r="G6" s="1942"/>
      <c r="H6" s="1942"/>
      <c r="I6" s="1556"/>
    </row>
    <row r="7" spans="1:12" ht="12.75">
      <c r="A7" s="3206"/>
      <c r="B7" s="3193"/>
      <c r="C7" s="3211"/>
      <c r="D7" s="3229"/>
      <c r="E7" s="136" t="s">
        <v>1957</v>
      </c>
      <c r="F7" s="1942"/>
      <c r="G7" s="1942"/>
      <c r="H7" s="1942"/>
      <c r="I7" s="1556"/>
    </row>
    <row r="8" spans="1:12" ht="12.75">
      <c r="A8" s="3206" t="s">
        <v>1958</v>
      </c>
      <c r="B8" s="3193">
        <v>15</v>
      </c>
      <c r="C8" s="3209"/>
      <c r="D8" s="3229"/>
      <c r="E8" s="136" t="s">
        <v>1959</v>
      </c>
      <c r="F8" s="1942"/>
      <c r="G8" s="1942"/>
      <c r="H8" s="1942"/>
      <c r="I8" s="1556"/>
    </row>
    <row r="9" spans="1:12" ht="12.75">
      <c r="A9" s="3206"/>
      <c r="B9" s="3193"/>
      <c r="C9" s="3211"/>
      <c r="D9" s="3229"/>
      <c r="E9" s="136" t="s">
        <v>1960</v>
      </c>
      <c r="F9" s="1942"/>
      <c r="G9" s="1942"/>
      <c r="H9" s="1942"/>
      <c r="I9" s="1556"/>
    </row>
    <row r="10" spans="1:12" ht="12.75">
      <c r="A10" s="3206" t="s">
        <v>1961</v>
      </c>
      <c r="B10" s="3193">
        <v>15</v>
      </c>
      <c r="C10" s="3209"/>
      <c r="D10" s="3229"/>
      <c r="E10" s="136" t="s">
        <v>1962</v>
      </c>
      <c r="F10" s="1942"/>
      <c r="G10" s="1942"/>
      <c r="H10" s="1942"/>
      <c r="I10" s="1556"/>
    </row>
    <row r="11" spans="1:12" ht="12.75">
      <c r="A11" s="3206"/>
      <c r="B11" s="3193"/>
      <c r="C11" s="3211"/>
      <c r="D11" s="3229"/>
      <c r="E11" s="136" t="s">
        <v>1963</v>
      </c>
      <c r="F11" s="1942"/>
      <c r="G11" s="1942"/>
      <c r="H11" s="1942"/>
      <c r="I11" s="1556"/>
    </row>
    <row r="12" spans="1:12" ht="12.75">
      <c r="A12" s="3206" t="s">
        <v>1964</v>
      </c>
      <c r="B12" s="3193">
        <v>15</v>
      </c>
      <c r="C12" s="3209"/>
      <c r="D12" s="3229"/>
      <c r="E12" s="136" t="s">
        <v>1965</v>
      </c>
      <c r="F12" s="1942"/>
      <c r="G12" s="1942"/>
      <c r="H12" s="1942"/>
      <c r="I12" s="1556"/>
    </row>
    <row r="13" spans="1:12" ht="12.75">
      <c r="A13" s="3206"/>
      <c r="B13" s="3193"/>
      <c r="C13" s="3211"/>
      <c r="D13" s="3229"/>
      <c r="E13" s="136" t="s">
        <v>1966</v>
      </c>
      <c r="F13" s="1942"/>
      <c r="G13" s="1942"/>
      <c r="H13" s="1942"/>
      <c r="I13" s="1556"/>
    </row>
    <row r="14" spans="1:12" ht="12.75">
      <c r="A14" s="3206" t="s">
        <v>1967</v>
      </c>
      <c r="B14" s="3193">
        <v>30</v>
      </c>
      <c r="C14" s="3439">
        <v>4</v>
      </c>
      <c r="D14" s="3440">
        <f>10-C14</f>
        <v>6</v>
      </c>
      <c r="E14" s="136" t="s">
        <v>1968</v>
      </c>
      <c r="F14" s="1942"/>
      <c r="G14" s="1942"/>
      <c r="H14" s="1942"/>
      <c r="I14" s="1556"/>
    </row>
    <row r="15" spans="1:12" ht="12.75">
      <c r="A15" s="3206"/>
      <c r="B15" s="3193"/>
      <c r="C15" s="3441"/>
      <c r="D15" s="3440"/>
      <c r="E15" s="136" t="s">
        <v>1969</v>
      </c>
      <c r="F15" s="1942"/>
      <c r="G15" s="1942"/>
      <c r="H15" s="1942"/>
      <c r="I15" s="1556"/>
    </row>
    <row r="16" spans="1:12" ht="12.75">
      <c r="A16" s="3206"/>
      <c r="B16" s="3193"/>
      <c r="C16" s="3442"/>
      <c r="D16" s="3440"/>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16" t="s">
        <v>2872</v>
      </c>
      <c r="F18" s="3217"/>
      <c r="G18" s="3217"/>
      <c r="H18" s="3217"/>
      <c r="I18" s="3217"/>
      <c r="K18" s="308" t="s">
        <v>1975</v>
      </c>
      <c r="L18" s="308">
        <f>IF(C1="",'数据-汇总表'!E3,SUMIF(项目类型,C1,'数据-汇总表'!E17:E26)+SUMIF(项目类型,C1,'数据-汇总表'!I17:I26))</f>
        <v>39707.960000000006</v>
      </c>
      <c r="M18" s="308">
        <f>IF(C1="",'数据-汇总表'!E3,SUMIF(项目类型,C1,'数据-汇总表'!E17:E26))</f>
        <v>39707.960000000006</v>
      </c>
    </row>
    <row r="19" spans="1:36" ht="15">
      <c r="A19" s="1946" t="s">
        <v>1976</v>
      </c>
      <c r="B19" s="1947" t="s">
        <v>1977</v>
      </c>
      <c r="C19" s="139">
        <f ca="1">SUMIF(INDIRECT("'"&amp;C4&amp;"'"&amp;"!A:A"),结果表!B19,INDIRECT("'"&amp;C4&amp;"'"&amp;"!B:B"))</f>
        <v>76455</v>
      </c>
      <c r="D19" s="140">
        <f ca="1">SUMIF(INDIRECT("'"&amp;D4&amp;"'"&amp;"!A:A"),结果表!B19,INDIRECT("'"&amp;D4&amp;"'"&amp;"!B:B"))</f>
        <v>63540</v>
      </c>
      <c r="E19" s="1946" t="s">
        <v>1978</v>
      </c>
      <c r="F19" s="1947" t="s">
        <v>1977</v>
      </c>
      <c r="G19" s="141">
        <f ca="1">ROUND(C19*$C$18+D19*$D$18,0)</f>
        <v>68706</v>
      </c>
      <c r="H19" s="1948" t="s">
        <v>1979</v>
      </c>
      <c r="I19" s="134"/>
      <c r="K19" s="308" t="s">
        <v>1980</v>
      </c>
      <c r="L19" s="308">
        <f>IF(C1="",'数据-汇总表'!D3,SUMIF(项目类型,C1,'数据-汇总表'!D17:D26)+SUMIF(项目类型,C1,'数据-汇总表'!H17:H27))</f>
        <v>6294.36</v>
      </c>
      <c r="M19" s="308">
        <f>IF(C1="",'数据-汇总表'!D3,SUMIF(项目类型,C1,'数据-汇总表'!D17:D26))</f>
        <v>6294.36</v>
      </c>
    </row>
    <row r="20" spans="1:36" ht="15">
      <c r="A20" s="1949"/>
      <c r="B20" s="1157" t="s">
        <v>1981</v>
      </c>
      <c r="C20" s="142">
        <f ca="1">SUMIF(INDIRECT("'"&amp;C4&amp;"'"&amp;"!A:A"),结果表!B20,INDIRECT("'"&amp;C4&amp;"'"&amp;"!B:B"))</f>
        <v>19254</v>
      </c>
      <c r="D20" s="143">
        <f ca="1">SUMIF(INDIRECT("'"&amp;D4&amp;"'"&amp;"!A:A"),结果表!B20,INDIRECT("'"&amp;D4&amp;"'"&amp;"!B:B"))</f>
        <v>16002</v>
      </c>
      <c r="E20" s="1949"/>
      <c r="F20" s="1157" t="s">
        <v>1981</v>
      </c>
      <c r="G20" s="144">
        <f ca="1">ROUND(C20*$C$18+D20*$D$18,0)</f>
        <v>17303</v>
      </c>
      <c r="H20" s="917" t="s">
        <v>1982</v>
      </c>
      <c r="I20" s="134"/>
      <c r="J20" s="734">
        <v>68587</v>
      </c>
    </row>
    <row r="21" spans="1:36" ht="15" customHeight="1" thickBot="1">
      <c r="A21" s="937"/>
      <c r="B21" s="1950" t="s">
        <v>1983</v>
      </c>
      <c r="C21" s="728">
        <f ca="1">ROUND(C19*10000/L19,0)</f>
        <v>121466</v>
      </c>
      <c r="D21" s="729">
        <f ca="1">ROUND(D19*10000/L19,0)</f>
        <v>100948</v>
      </c>
      <c r="E21" s="937"/>
      <c r="F21" s="1950" t="s">
        <v>1983</v>
      </c>
      <c r="G21" s="145">
        <f ca="1">ROUND(G19*10000/L19,0)</f>
        <v>109155</v>
      </c>
      <c r="H21" s="1951" t="s">
        <v>1982</v>
      </c>
      <c r="I21" s="134"/>
      <c r="J21" s="734">
        <f ca="1">G19/J20-1</f>
        <v>1.7350226719348161E-3</v>
      </c>
    </row>
    <row r="22" spans="1:36" ht="15" thickBot="1">
      <c r="A22" s="1873" t="s">
        <v>1984</v>
      </c>
      <c r="B22" s="1952"/>
      <c r="C22" s="1953"/>
      <c r="D22" s="730">
        <f ca="1">IF(C19&lt;D19,D19/C19-1,C19/D19-1)</f>
        <v>0.20325779036827196</v>
      </c>
      <c r="E22" s="134"/>
      <c r="F22" s="134"/>
      <c r="G22" s="134"/>
      <c r="H22" s="134"/>
      <c r="I22" s="134"/>
      <c r="J22" s="734">
        <f ca="1">J20-G19</f>
        <v>-119</v>
      </c>
    </row>
    <row r="23" spans="1:36" ht="13.5" thickBot="1">
      <c r="A23" s="1932"/>
      <c r="B23" s="1932"/>
      <c r="C23" s="1932"/>
      <c r="D23" s="1932"/>
      <c r="E23" s="134"/>
      <c r="F23" s="134"/>
      <c r="G23" s="134"/>
      <c r="H23" s="134"/>
      <c r="I23" s="134"/>
    </row>
    <row r="24" spans="1:36" ht="14.25">
      <c r="A24" s="3200" t="s">
        <v>1985</v>
      </c>
      <c r="B24" s="1947" t="s">
        <v>1977</v>
      </c>
      <c r="C24" s="141">
        <f>IF(B30=0,0,D30)</f>
        <v>0</v>
      </c>
      <c r="D24" s="1954"/>
      <c r="E24" s="134"/>
      <c r="F24" s="134"/>
      <c r="G24" s="134"/>
      <c r="H24" s="134"/>
      <c r="I24" s="134"/>
    </row>
    <row r="25" spans="1:36" ht="14.25">
      <c r="A25" s="3201"/>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4"/>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68706</v>
      </c>
      <c r="D32" s="1960" t="s">
        <v>3086</v>
      </c>
      <c r="E32" s="134"/>
      <c r="F32" s="134"/>
      <c r="G32" s="134"/>
      <c r="H32" s="134"/>
      <c r="I32" s="134"/>
    </row>
    <row r="33" spans="1:15" ht="15">
      <c r="A33" s="894" t="s">
        <v>1992</v>
      </c>
      <c r="B33" s="1961"/>
      <c r="C33" s="1962" t="s">
        <v>3087</v>
      </c>
      <c r="D33" s="1963" t="s">
        <v>3088</v>
      </c>
      <c r="E33" s="1964" t="s">
        <v>1993</v>
      </c>
      <c r="F33" s="1965" t="str">
        <f>IF(D32="楼面单价","取值（单价）","取值（总价）")</f>
        <v>取值（总价）</v>
      </c>
      <c r="G33" s="134"/>
      <c r="H33" s="134"/>
      <c r="I33" s="134"/>
    </row>
    <row r="34" spans="1:15" ht="15">
      <c r="A34" s="1966"/>
      <c r="B34" s="1967" t="s">
        <v>1994</v>
      </c>
      <c r="C34" s="153">
        <f ca="1">IF(C33="自定义",F34,C32-C35)</f>
        <v>50155</v>
      </c>
      <c r="D34" s="970">
        <f ca="1">IF(C33="自定义",ROUND(C34/C32,3),IF(C33="收益比率",SUMIF(INDIRECT("'"&amp;D33&amp;"'"&amp;"!b:b"),"土地收益比率",INDIRECT("'"&amp;D33&amp;"'"&amp;"!c:c")),SUMIF(INDIRECT("'"&amp;D33&amp;"'"&amp;"!b:b"),"土地成本比率",INDIRECT("'"&amp;D33&amp;"'"&amp;"!c:c"))))</f>
        <v>0.73</v>
      </c>
      <c r="E34" s="1968" t="s">
        <v>1995</v>
      </c>
      <c r="F34" s="1497"/>
      <c r="G34" s="134"/>
      <c r="H34" s="134"/>
      <c r="I34" s="134"/>
    </row>
    <row r="35" spans="1:15" ht="15.75" thickBot="1">
      <c r="A35" s="1969"/>
      <c r="B35" s="1970" t="s">
        <v>1996</v>
      </c>
      <c r="C35" s="1332">
        <f ca="1">IF(C33="自定义",F35,ROUND(C32*D35,0))</f>
        <v>18551</v>
      </c>
      <c r="D35" s="1333">
        <f ca="1">IF(C33="自定义",ROUND(C35/C32,3),IF(C33="收益比率",SUMIF(INDIRECT("'"&amp;D33&amp;"'"&amp;"!b:b"),"建筑物收益比率",INDIRECT("'"&amp;D33&amp;"'"&amp;"!c:c")),SUMIF(INDIRECT("'"&amp;D33&amp;"'"&amp;"!b:b"),"建筑物成本比率",INDIRECT("'"&amp;D33&amp;"'"&amp;"!c:c"))))</f>
        <v>0.27</v>
      </c>
      <c r="E35" s="1971" t="s">
        <v>1997</v>
      </c>
      <c r="F35" s="159"/>
      <c r="G35" s="134"/>
      <c r="H35" s="134"/>
      <c r="I35" s="134"/>
    </row>
    <row r="36" spans="1:15" ht="15.75" thickBot="1">
      <c r="A36" s="3220" t="s">
        <v>1998</v>
      </c>
      <c r="B36" s="1972" t="s">
        <v>1999</v>
      </c>
      <c r="C36" s="150"/>
      <c r="D36" s="1973"/>
      <c r="E36" s="1974"/>
      <c r="F36" s="1975"/>
      <c r="G36" s="134"/>
      <c r="H36" s="134"/>
      <c r="I36" s="134"/>
    </row>
    <row r="37" spans="1:15" ht="15.75" thickBot="1">
      <c r="A37" s="3221"/>
      <c r="B37" s="1859" t="s">
        <v>2000</v>
      </c>
      <c r="C37" s="152"/>
      <c r="D37" s="1301"/>
      <c r="E37" s="1301"/>
      <c r="F37" s="1975"/>
      <c r="G37" s="134"/>
      <c r="H37" s="134"/>
      <c r="I37" s="134"/>
    </row>
    <row r="38" spans="1:15" ht="15.75" thickBot="1">
      <c r="A38" s="3222"/>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7" t="s">
        <v>2012</v>
      </c>
      <c r="B45" s="3198"/>
      <c r="C45" s="3199"/>
      <c r="D45" s="160">
        <f ca="1">ROUND(H101*F45,0)</f>
        <v>68706</v>
      </c>
      <c r="E45" s="161" t="s">
        <v>2013</v>
      </c>
      <c r="F45" s="162">
        <v>1</v>
      </c>
      <c r="G45" s="163" t="s">
        <v>2014</v>
      </c>
      <c r="H45" s="134"/>
      <c r="I45" s="134"/>
      <c r="J45" s="3278" t="s">
        <v>2015</v>
      </c>
      <c r="K45" s="3278"/>
      <c r="L45" s="3278"/>
      <c r="M45" s="3278"/>
      <c r="N45" s="3278"/>
      <c r="O45" s="3278"/>
    </row>
    <row r="46" spans="1:15" ht="14.25" customHeight="1">
      <c r="A46" s="3194" t="s">
        <v>2016</v>
      </c>
      <c r="B46" s="3195"/>
      <c r="C46" s="3195"/>
      <c r="D46" s="3195"/>
      <c r="E46" s="3195"/>
      <c r="F46" s="3195"/>
      <c r="G46" s="3196"/>
      <c r="H46" s="1991"/>
      <c r="I46" s="164"/>
      <c r="J46" s="2745">
        <v>1</v>
      </c>
      <c r="K46" s="3259" t="s">
        <v>2017</v>
      </c>
      <c r="L46" s="3259"/>
      <c r="M46" s="3279"/>
      <c r="N46" s="3279"/>
      <c r="O46" s="3279"/>
    </row>
    <row r="47" spans="1:15" ht="12" customHeight="1">
      <c r="A47" s="165" t="s">
        <v>2018</v>
      </c>
      <c r="B47" s="166"/>
      <c r="C47" s="167"/>
      <c r="D47" s="1247" t="s">
        <v>2019</v>
      </c>
      <c r="E47" s="308" t="s">
        <v>2020</v>
      </c>
      <c r="F47" s="168" t="s">
        <v>2021</v>
      </c>
      <c r="G47" s="2768" t="s">
        <v>2022</v>
      </c>
      <c r="H47" s="2769"/>
      <c r="I47" s="164"/>
      <c r="J47" s="2745">
        <v>2</v>
      </c>
      <c r="K47" s="3259" t="s">
        <v>2023</v>
      </c>
      <c r="L47" s="3259"/>
      <c r="M47" s="3280">
        <f>'数据-取费表'!B2</f>
        <v>44515</v>
      </c>
      <c r="N47" s="3280"/>
      <c r="O47" s="3280"/>
    </row>
    <row r="48" spans="1:15" ht="25.5">
      <c r="A48" s="3225" t="s">
        <v>2024</v>
      </c>
      <c r="B48" s="3208"/>
      <c r="C48" s="3208"/>
      <c r="D48" s="2546" t="b">
        <f>IF(H48="情况1",0,IF(H48="情况2",D52,IF(H48="情况3",D53,IF(H48="情况4",D54))))</f>
        <v>0</v>
      </c>
      <c r="E48" s="2556" t="str">
        <f>IF(H48="情况4","(销售额-原购置价)×税（费）率","销售额×税（费）率")</f>
        <v>销售额×税（费）率</v>
      </c>
      <c r="F48" s="2770">
        <f>IF(H48="情况1","免征",'数据-取费表'!B41)</f>
        <v>5.6000000000000001E-2</v>
      </c>
      <c r="G48" s="2771" t="s">
        <v>2025</v>
      </c>
      <c r="H48" s="2772"/>
      <c r="I48" s="1991"/>
      <c r="J48" s="2745">
        <v>3</v>
      </c>
      <c r="K48" s="3259" t="s">
        <v>2026</v>
      </c>
      <c r="L48" s="3259"/>
      <c r="M48" s="3281">
        <f ca="1">H101</f>
        <v>68706</v>
      </c>
      <c r="N48" s="3281"/>
      <c r="O48" s="3281"/>
    </row>
    <row r="49" spans="1:35" ht="25.5" customHeight="1">
      <c r="A49" s="2555" t="s">
        <v>2027</v>
      </c>
      <c r="B49" s="3192" t="s">
        <v>2028</v>
      </c>
      <c r="C49" s="3192"/>
      <c r="D49" s="1774">
        <v>0</v>
      </c>
      <c r="E49" s="330" t="s">
        <v>2029</v>
      </c>
      <c r="F49" s="2649" t="s">
        <v>34</v>
      </c>
      <c r="G49" s="3265"/>
      <c r="H49" s="2527" t="s">
        <v>2875</v>
      </c>
      <c r="I49" s="2528"/>
      <c r="J49" s="2745">
        <v>4</v>
      </c>
      <c r="K49" s="3259" t="str">
        <f>IF(项目基本情况!E8="房地产抵押价值","房地产抵押价值","抵押担保权已注销时的房地产抵押价值")</f>
        <v>房地产抵押价值</v>
      </c>
      <c r="L49" s="3259"/>
      <c r="M49" s="3281">
        <f ca="1">IF(项目基本情况!E8="房地产抵押价值",H107,H109)</f>
        <v>68706</v>
      </c>
      <c r="N49" s="3281"/>
      <c r="O49" s="3281"/>
    </row>
    <row r="50" spans="1:35" ht="25.5" customHeight="1">
      <c r="A50" s="2773"/>
      <c r="B50" s="3192" t="s">
        <v>2030</v>
      </c>
      <c r="C50" s="3192"/>
      <c r="D50" s="2774"/>
      <c r="E50" s="338"/>
      <c r="F50" s="2649"/>
      <c r="G50" s="3266"/>
      <c r="H50" s="2529" t="s">
        <v>2876</v>
      </c>
      <c r="I50" s="2528"/>
      <c r="J50" s="3278" t="s">
        <v>2031</v>
      </c>
      <c r="K50" s="3278"/>
      <c r="L50" s="3278"/>
      <c r="M50" s="3278"/>
      <c r="N50" s="3278"/>
      <c r="O50" s="3278"/>
    </row>
    <row r="51" spans="1:35" ht="20.45" customHeight="1">
      <c r="A51" s="2775"/>
      <c r="B51" s="3192" t="s">
        <v>2032</v>
      </c>
      <c r="C51" s="3192"/>
      <c r="D51" s="1247"/>
      <c r="E51" s="333"/>
      <c r="F51" s="2649"/>
      <c r="G51" s="3267"/>
      <c r="H51" s="2529" t="s">
        <v>2877</v>
      </c>
      <c r="I51" s="2528"/>
      <c r="J51" s="2746" t="s">
        <v>2033</v>
      </c>
      <c r="K51" s="3259" t="s">
        <v>2034</v>
      </c>
      <c r="L51" s="3259"/>
      <c r="M51" s="2746" t="s">
        <v>2035</v>
      </c>
      <c r="N51" s="2746" t="s">
        <v>2036</v>
      </c>
      <c r="O51" s="2746" t="s">
        <v>2037</v>
      </c>
    </row>
    <row r="52" spans="1:35" ht="24" customHeight="1">
      <c r="A52" s="2557" t="s">
        <v>2038</v>
      </c>
      <c r="B52" s="3192" t="s">
        <v>2039</v>
      </c>
      <c r="C52" s="3192"/>
      <c r="D52" s="1247">
        <f ca="1">ROUND(D45*'数据-取费表'!B41/(1+'数据-取费表'!C42),0)</f>
        <v>3664</v>
      </c>
      <c r="E52" s="2556" t="s">
        <v>2040</v>
      </c>
      <c r="F52" s="2776">
        <f>'数据-取费表'!B41</f>
        <v>5.6000000000000001E-2</v>
      </c>
      <c r="G52" s="2777"/>
      <c r="H52" s="2766"/>
      <c r="I52" s="1992"/>
      <c r="J52" s="2745">
        <v>1</v>
      </c>
      <c r="K52" s="3260" t="s">
        <v>2041</v>
      </c>
      <c r="L52" s="3260"/>
      <c r="M52" s="2747" t="b">
        <f>D48</f>
        <v>0</v>
      </c>
      <c r="N52" s="2745" t="str">
        <f>E48</f>
        <v>销售额×税（费）率</v>
      </c>
      <c r="O52" s="2748">
        <f>F48</f>
        <v>5.6000000000000001E-2</v>
      </c>
    </row>
    <row r="53" spans="1:35" ht="12" customHeight="1">
      <c r="A53" s="2557" t="s">
        <v>2042</v>
      </c>
      <c r="B53" s="3218" t="s">
        <v>3032</v>
      </c>
      <c r="C53" s="3219"/>
      <c r="D53" s="1247">
        <f ca="1">ROUND(D45*'数据-取费表'!B41/(1+'数据-取费表'!C42),0)</f>
        <v>3664</v>
      </c>
      <c r="E53" s="2556" t="s">
        <v>2040</v>
      </c>
      <c r="F53" s="2776">
        <f>'数据-取费表'!B41</f>
        <v>5.6000000000000001E-2</v>
      </c>
      <c r="G53" s="2777"/>
      <c r="H53" s="2766"/>
      <c r="I53" s="1992"/>
      <c r="J53" s="2745">
        <v>2</v>
      </c>
      <c r="K53" s="3260" t="s">
        <v>2043</v>
      </c>
      <c r="L53" s="3260"/>
      <c r="M53" s="2747">
        <f t="shared" ref="M53:O54" ca="1" si="0">D55</f>
        <v>34</v>
      </c>
      <c r="N53" s="2745" t="str">
        <f t="shared" si="0"/>
        <v>销售额×税（费）率</v>
      </c>
      <c r="O53" s="2748" t="str">
        <f t="shared" si="0"/>
        <v>免征</v>
      </c>
    </row>
    <row r="54" spans="1:35" ht="12" customHeight="1">
      <c r="A54" s="2557" t="s">
        <v>2044</v>
      </c>
      <c r="B54" s="3218" t="s">
        <v>3033</v>
      </c>
      <c r="C54" s="3219"/>
      <c r="D54" s="1247">
        <f ca="1">C68</f>
        <v>3664</v>
      </c>
      <c r="E54" s="333" t="s">
        <v>2045</v>
      </c>
      <c r="F54" s="2776">
        <f>'数据-取费表'!B41</f>
        <v>5.6000000000000001E-2</v>
      </c>
      <c r="G54" s="2777"/>
      <c r="H54" s="2778"/>
      <c r="I54" s="1992"/>
      <c r="J54" s="2745">
        <v>3</v>
      </c>
      <c r="K54" s="3260" t="s">
        <v>2046</v>
      </c>
      <c r="L54" s="3260"/>
      <c r="M54" s="2747">
        <f t="shared" ca="1" si="0"/>
        <v>38887</v>
      </c>
      <c r="N54" s="2745" t="str">
        <f t="shared" si="0"/>
        <v>增值额×税（费）率</v>
      </c>
      <c r="O54" s="2749" t="str">
        <f t="shared" si="0"/>
        <v>免征</v>
      </c>
    </row>
    <row r="55" spans="1:35" ht="24" customHeight="1">
      <c r="A55" s="3207" t="s">
        <v>2047</v>
      </c>
      <c r="B55" s="3208"/>
      <c r="C55" s="3208"/>
      <c r="D55" s="2546">
        <f ca="1">IF(H55="个人住宅",0,ROUND(D45*I55,0))</f>
        <v>34</v>
      </c>
      <c r="E55" s="2556" t="s">
        <v>2048</v>
      </c>
      <c r="F55" s="2776" t="str">
        <f>IF(H55="正常",I55,"免征")</f>
        <v>免征</v>
      </c>
      <c r="G55" s="2777"/>
      <c r="H55" s="2772"/>
      <c r="I55" s="170">
        <f>'数据-取费表'!B49</f>
        <v>5.0000000000000001E-4</v>
      </c>
      <c r="J55" s="2745">
        <f>IF(H59="非个人房产","",4)</f>
        <v>4</v>
      </c>
      <c r="K55" s="3260" t="str">
        <f>IF(H59="非个人房产","——","个人所得税")</f>
        <v>个人所得税</v>
      </c>
      <c r="L55" s="3260"/>
      <c r="M55" s="2750">
        <f ca="1">D59</f>
        <v>654</v>
      </c>
      <c r="N55" s="2227" t="str">
        <f>E59</f>
        <v>差额计税</v>
      </c>
      <c r="O55" s="2751">
        <f>F59</f>
        <v>0.01</v>
      </c>
    </row>
    <row r="56" spans="1:35" ht="24.75">
      <c r="A56" s="3207" t="s">
        <v>2049</v>
      </c>
      <c r="B56" s="3208"/>
      <c r="C56" s="3208"/>
      <c r="D56" s="2546">
        <f ca="1">IF(H56="个人住宅",D57,D58)</f>
        <v>38887</v>
      </c>
      <c r="E56" s="2556" t="s">
        <v>2050</v>
      </c>
      <c r="F56" s="2776" t="str">
        <f>IF(H56="正常",F58,"免征")</f>
        <v>免征</v>
      </c>
      <c r="G56" s="2779" t="s">
        <v>2051</v>
      </c>
      <c r="H56" s="2780"/>
      <c r="I56" s="1993"/>
      <c r="J56" s="2745" t="str">
        <f>IF(项目基本情况!K6="上海银行",IF(J55="",4,J55+1),"")</f>
        <v/>
      </c>
      <c r="K56" s="3283" t="str">
        <f>IF(项目基本情况!K6="上海银行","其他处置费用","")</f>
        <v/>
      </c>
      <c r="L56" s="3284"/>
      <c r="M56" s="2747" t="str">
        <f>IF(项目基本情况!K6="上海银行",M69,"")</f>
        <v/>
      </c>
      <c r="N56" s="3283" t="str">
        <f>IF(项目基本情况!K6="上海银行","包含处置中涉及的律师、诉讼、拍卖、评估等费用","")</f>
        <v/>
      </c>
      <c r="O56" s="3286"/>
    </row>
    <row r="57" spans="1:35" ht="12.75">
      <c r="A57" s="2557" t="s">
        <v>2027</v>
      </c>
      <c r="B57" s="3218" t="s">
        <v>2052</v>
      </c>
      <c r="C57" s="3219"/>
      <c r="D57" s="1774">
        <v>0</v>
      </c>
      <c r="E57" s="330" t="s">
        <v>2029</v>
      </c>
      <c r="F57" s="308"/>
      <c r="G57" s="2777"/>
      <c r="H57" s="2781"/>
      <c r="I57" s="1993"/>
      <c r="J57" s="3260">
        <f>IF(AND(J55="",J56=""),4,IF(项目基本情况!K6="上海银行",结果表!J56+1,结果表!J55+1))</f>
        <v>5</v>
      </c>
      <c r="K57" s="3260" t="s">
        <v>2053</v>
      </c>
      <c r="L57" s="2752" t="s">
        <v>2054</v>
      </c>
      <c r="M57" s="2753"/>
      <c r="N57" s="2754">
        <f ca="1">SUMIF(M52:M56,"&lt;9e307")</f>
        <v>39575</v>
      </c>
      <c r="O57" s="2755"/>
      <c r="P57" s="2915">
        <f ca="1">N57/M49</f>
        <v>0.57600500684074174</v>
      </c>
    </row>
    <row r="58" spans="1:35" ht="24.75">
      <c r="A58" s="2557" t="s">
        <v>2038</v>
      </c>
      <c r="B58" s="3218" t="s">
        <v>2055</v>
      </c>
      <c r="C58" s="3192"/>
      <c r="D58" s="2546">
        <f ca="1">IF(H58="转让取得",C81,C97)</f>
        <v>38887</v>
      </c>
      <c r="E58" s="2556" t="s">
        <v>2050</v>
      </c>
      <c r="F58" s="308" t="s">
        <v>34</v>
      </c>
      <c r="G58" s="2777"/>
      <c r="H58" s="2780"/>
      <c r="I58" s="1993"/>
      <c r="J58" s="3260"/>
      <c r="K58" s="3260"/>
      <c r="L58" s="2752" t="s">
        <v>2056</v>
      </c>
      <c r="M58" s="2756"/>
      <c r="N58" s="2757" t="str">
        <f ca="1">NUMBERSTRING(INT(N57*10000),2)&amp;"元整"</f>
        <v>叁亿玖仟伍佰柒拾伍万元整</v>
      </c>
      <c r="O58" s="2758"/>
    </row>
    <row r="59" spans="1:35" ht="24.75" thickBot="1">
      <c r="A59" s="3263" t="s">
        <v>2057</v>
      </c>
      <c r="B59" s="3264"/>
      <c r="C59" s="3264"/>
      <c r="D59" s="2782">
        <f ca="1">IF(H59="非个人房产","——",IF(H59="个人住宅（满五唯一有凭证）",0,IF(H59="个人其他（无凭证）",ROUND(D45*F59,0),ROUND(C67*F59,0))))</f>
        <v>654</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31"/>
      <c r="I59" s="2530" t="s">
        <v>2878</v>
      </c>
      <c r="J59" s="3261">
        <f>J57+1</f>
        <v>6</v>
      </c>
      <c r="K59" s="3260" t="s">
        <v>2058</v>
      </c>
      <c r="L59" s="2745" t="s">
        <v>2054</v>
      </c>
      <c r="M59" s="2759"/>
      <c r="N59" s="2760">
        <f ca="1">M49-N57</f>
        <v>29131</v>
      </c>
      <c r="O59" s="2761"/>
    </row>
    <row r="60" spans="1:35" ht="12" customHeight="1">
      <c r="A60" s="1994"/>
      <c r="B60" s="1932"/>
      <c r="C60" s="1932"/>
      <c r="D60" s="1932"/>
      <c r="E60" s="1762"/>
      <c r="F60" s="1993"/>
      <c r="G60" s="1993"/>
      <c r="H60" s="1995"/>
      <c r="I60" s="134"/>
      <c r="J60" s="3262"/>
      <c r="K60" s="3260"/>
      <c r="L60" s="2752" t="s">
        <v>2056</v>
      </c>
      <c r="M60" s="2756"/>
      <c r="N60" s="2757" t="str">
        <f ca="1">NUMBERSTRING(INT(N59*10000),2)&amp;"元整"</f>
        <v>贰亿玖仟壹佰叁拾壹万元整</v>
      </c>
      <c r="O60" s="2758"/>
    </row>
    <row r="61" spans="1:35" ht="13.5" thickBot="1">
      <c r="A61" s="3205" t="s">
        <v>2059</v>
      </c>
      <c r="B61" s="3205"/>
      <c r="C61" s="3205"/>
      <c r="D61" s="3205"/>
      <c r="E61" s="3205"/>
      <c r="F61" s="1993"/>
      <c r="G61" s="1993"/>
      <c r="H61" s="1995"/>
      <c r="I61" s="134"/>
      <c r="J61" s="2745">
        <f>J59+1</f>
        <v>7</v>
      </c>
      <c r="K61" s="3260" t="s">
        <v>2060</v>
      </c>
      <c r="L61" s="3260"/>
      <c r="M61" s="2762"/>
      <c r="N61" s="2763">
        <f ca="1">ROUND(N59*10000/'数据-汇总表'!E3,0)</f>
        <v>7336</v>
      </c>
      <c r="O61" s="2764"/>
    </row>
    <row r="62" spans="1:35" ht="12.75">
      <c r="A62" s="3223" t="s">
        <v>2061</v>
      </c>
      <c r="B62" s="3224"/>
      <c r="C62" s="2208"/>
      <c r="D62" s="2208" t="s">
        <v>2062</v>
      </c>
      <c r="E62" s="171" t="s">
        <v>2063</v>
      </c>
      <c r="F62" s="1993"/>
      <c r="G62" s="1993"/>
      <c r="H62" s="1995"/>
      <c r="I62" s="134"/>
    </row>
    <row r="63" spans="1:35" ht="12.75">
      <c r="A63" s="178" t="s">
        <v>775</v>
      </c>
      <c r="B63" s="172" t="s">
        <v>2064</v>
      </c>
      <c r="C63" s="2786">
        <f ca="1">ROUND((C64+C65)/(1+'数据-取费表'!C42),0)</f>
        <v>65434</v>
      </c>
      <c r="D63" s="172"/>
      <c r="E63" s="173"/>
      <c r="F63" s="1993"/>
      <c r="G63" s="1993"/>
      <c r="H63" s="1995"/>
      <c r="I63" s="134"/>
      <c r="J63" s="3285" t="s">
        <v>2065</v>
      </c>
      <c r="K63" s="1500" t="s">
        <v>2066</v>
      </c>
      <c r="L63" s="1500">
        <f ca="1">IF(M49&gt;10000,M49*0.5%,IF(AND(M49&gt;1000,M49&lt;=10000),M49*1%,IF(AND(M49&gt;100,M49&lt;=1000),M49*3%,IF(AND(M49&gt;10,M49&lt;=100),M49*5%,M49*8%))))</f>
        <v>343.53000000000003</v>
      </c>
      <c r="M63" s="308">
        <f ca="1">ROUND(L63,1)</f>
        <v>343.5</v>
      </c>
      <c r="N63" s="2765"/>
      <c r="Z63" s="1937"/>
      <c r="AI63" s="1938"/>
    </row>
    <row r="64" spans="1:35" ht="14.25" customHeight="1">
      <c r="A64" s="174" t="s">
        <v>770</v>
      </c>
      <c r="B64" s="175" t="s">
        <v>2067</v>
      </c>
      <c r="C64" s="2787">
        <f ca="1">D45</f>
        <v>68706</v>
      </c>
      <c r="D64" s="175" t="s">
        <v>32</v>
      </c>
      <c r="E64" s="177"/>
      <c r="F64" s="1993"/>
      <c r="G64" s="1993"/>
      <c r="H64" s="1995"/>
      <c r="I64" s="134"/>
      <c r="J64" s="3285"/>
      <c r="K64" s="1500" t="s">
        <v>2068</v>
      </c>
      <c r="L64" s="1500">
        <f ca="1">IF(M49&gt;2000,M49*0.5%,IF(AND(M49&gt;1000,M49&lt;=2000),M49*0.6%,IF(AND(M49&gt;500,M49&lt;=1000),M49*0.7%,IF(AND(M49&gt;200,M49&lt;=500),M49*0.8%,IF(AND(M49&gt;100,M49&lt;=200),M49*0.9%,IF(AND(M49&gt;50,M49&lt;=100),M49*1%,IF(AND(M49&gt;20,M49&lt;=50),M49*1.5%,IF(AND(M49&gt;10,M49&lt;=20),M49*2%,IF(AND(M49&gt;1,M49&lt;=10),M49*2.5%)))))))))</f>
        <v>343.53000000000003</v>
      </c>
      <c r="M64" s="308">
        <f t="shared" ref="M64:M65" ca="1" si="1">ROUND(L64,1)</f>
        <v>343.5</v>
      </c>
      <c r="N64" s="2766" t="s">
        <v>2069</v>
      </c>
      <c r="Z64" s="1937"/>
      <c r="AI64" s="1938"/>
    </row>
    <row r="65" spans="1:35" ht="14.25" customHeight="1">
      <c r="A65" s="174" t="s">
        <v>771</v>
      </c>
      <c r="B65" s="175" t="s">
        <v>2070</v>
      </c>
      <c r="C65" s="2788"/>
      <c r="D65" s="175"/>
      <c r="E65" s="177"/>
      <c r="F65" s="1993"/>
      <c r="G65" s="1993"/>
      <c r="H65" s="1995"/>
      <c r="I65" s="134"/>
      <c r="J65" s="3285"/>
      <c r="K65" s="1500" t="s">
        <v>2071</v>
      </c>
      <c r="L65" s="1500">
        <f ca="1">IF(M49&gt;1000,M49*0.1%,IF(AND(M49&gt;500,M49&lt;=1000),M49*0.5%,IF(AND(M49&gt;50,M49&lt;=500),M49*1%,IF(AND(M49&gt;1,M49&lt;=50),M49*1.5%))))</f>
        <v>68.706000000000003</v>
      </c>
      <c r="M65" s="308">
        <f t="shared" ca="1" si="1"/>
        <v>68.7</v>
      </c>
      <c r="N65" s="2766" t="s">
        <v>2069</v>
      </c>
      <c r="Z65" s="1937"/>
      <c r="AI65" s="1938"/>
    </row>
    <row r="66" spans="1:35" ht="14.25" customHeight="1">
      <c r="A66" s="178" t="s">
        <v>772</v>
      </c>
      <c r="B66" s="179" t="s">
        <v>2072</v>
      </c>
      <c r="C66" s="2789"/>
      <c r="D66" s="179" t="s">
        <v>32</v>
      </c>
      <c r="E66" s="1508" t="s">
        <v>1337</v>
      </c>
      <c r="F66" s="1993"/>
      <c r="G66" s="1993"/>
      <c r="H66" s="1995"/>
      <c r="I66" s="134"/>
      <c r="J66" s="3285"/>
      <c r="K66" s="1500" t="s">
        <v>2073</v>
      </c>
      <c r="L66" s="1500">
        <f ca="1">M49*0.5%</f>
        <v>343.53000000000003</v>
      </c>
      <c r="M66" s="308">
        <f ca="1">IF(L66&gt;0.5,0.5,ROUND(L66,0))</f>
        <v>0.5</v>
      </c>
      <c r="N66" s="2766" t="s">
        <v>2074</v>
      </c>
      <c r="Z66" s="1937"/>
      <c r="AI66" s="1938"/>
    </row>
    <row r="67" spans="1:35" ht="14.25" customHeight="1">
      <c r="A67" s="178" t="s">
        <v>773</v>
      </c>
      <c r="B67" s="179" t="s">
        <v>2075</v>
      </c>
      <c r="C67" s="2790">
        <f ca="1">C63-C66</f>
        <v>65434</v>
      </c>
      <c r="D67" s="175" t="s">
        <v>32</v>
      </c>
      <c r="E67" s="177"/>
      <c r="F67" s="1993"/>
      <c r="G67" s="1993"/>
      <c r="H67" s="1995"/>
      <c r="I67" s="134"/>
      <c r="J67" s="3285"/>
      <c r="K67" s="1500" t="s">
        <v>2076</v>
      </c>
      <c r="L67" s="1500">
        <f ca="1">IF(M49&gt;=10000,(8.25+(M49-10000)*0.01%),IF(AND(M49&gt;=8000,M49&lt;10000),(7.85+(M49-8000)*0.02%),IF(AND(M49&gt;=5000,M49&lt;8000),(6.65+(M49-5000)*0.04%),IF(AND(M49&gt;=2000,M49&lt;5000),(4.25+(PM49-2000)*0.08%),IF(AND(M49&gt;=1000,M49&lt;2000),(2.75+(M49-1000)*0.15%),IF(AND(M49&gt;=100,M49&lt;1000),(0.5+(M49-100)*0.25%),IF(AND(M49&gt;0,M49&lt;100),M49*0.5%)))))))</f>
        <v>14.1206</v>
      </c>
      <c r="M67" s="308">
        <f ca="1">ROUND(L67*0.9,1)</f>
        <v>12.7</v>
      </c>
      <c r="N67" s="2765"/>
      <c r="Z67" s="1937"/>
      <c r="AI67" s="1938"/>
    </row>
    <row r="68" spans="1:35" ht="14.25" customHeight="1" thickBot="1">
      <c r="A68" s="181" t="s">
        <v>774</v>
      </c>
      <c r="B68" s="182" t="s">
        <v>2077</v>
      </c>
      <c r="C68" s="2791">
        <f ca="1">IF(C67&lt;=0,0,ROUND(C67*D68,0))</f>
        <v>3664</v>
      </c>
      <c r="D68" s="2792">
        <f>'数据-取费表'!B41</f>
        <v>5.6000000000000001E-2</v>
      </c>
      <c r="E68" s="184"/>
      <c r="F68" s="1993"/>
      <c r="G68" s="1993"/>
      <c r="H68" s="1995"/>
      <c r="I68" s="134"/>
      <c r="J68" s="3285"/>
      <c r="K68" s="1500" t="s">
        <v>2078</v>
      </c>
      <c r="L68" s="1500">
        <f ca="1">IF(M49&gt;10000,M49*0.5%,IF(AND(M49&gt;5000,M49&lt;=10000),M49*1%,IF(AND(M49&gt;1000,M49&lt;=5000),M49*2%,IF(AND(M49&gt;200,M49&lt;=1000),M49*3%,M49*5%))))</f>
        <v>343.53000000000003</v>
      </c>
      <c r="M68" s="308">
        <f ca="1">ROUND(L68,1)</f>
        <v>343.5</v>
      </c>
      <c r="N68" s="2765"/>
      <c r="Z68" s="1937"/>
      <c r="AI68" s="1938"/>
    </row>
    <row r="69" spans="1:35" s="1957" customFormat="1" ht="16.5" customHeight="1">
      <c r="A69" s="1996"/>
      <c r="B69" s="1997"/>
      <c r="C69" s="1998"/>
      <c r="D69" s="1999"/>
      <c r="E69" s="2000"/>
      <c r="F69" s="1762"/>
      <c r="G69" s="1762"/>
      <c r="H69" s="1761"/>
      <c r="I69" s="1932"/>
      <c r="J69" s="3285"/>
      <c r="K69" s="1500" t="s">
        <v>2079</v>
      </c>
      <c r="L69" s="1500"/>
      <c r="M69" s="308">
        <f ca="1">ROUND(SUM(M63:M68),0)</f>
        <v>1112</v>
      </c>
      <c r="N69" s="2767">
        <f ca="1">M69/M49</f>
        <v>1.6184903792972959E-2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4" t="s">
        <v>2080</v>
      </c>
      <c r="B70" s="3245"/>
      <c r="C70" s="3245"/>
      <c r="D70" s="3245"/>
      <c r="E70" s="3245"/>
      <c r="F70" s="3245"/>
      <c r="G70" s="3245"/>
      <c r="H70" s="3245"/>
      <c r="I70" s="2001"/>
      <c r="J70" s="2916"/>
      <c r="K70" s="2916"/>
      <c r="L70" s="2916"/>
      <c r="M70" s="2916"/>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3" t="s">
        <v>2061</v>
      </c>
      <c r="B71" s="3224"/>
      <c r="C71" s="2208"/>
      <c r="D71" s="2208" t="s">
        <v>2062</v>
      </c>
      <c r="E71" s="185" t="s">
        <v>2063</v>
      </c>
      <c r="F71" s="186"/>
      <c r="G71" s="186"/>
      <c r="H71" s="187"/>
      <c r="I71" s="2005"/>
      <c r="J71" s="2916"/>
      <c r="K71" s="2916"/>
      <c r="L71" s="2916"/>
      <c r="M71" s="2916"/>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0">
        <f ca="1">ROUND(D45/(1+'数据-取费表'!C42),0)</f>
        <v>65434</v>
      </c>
      <c r="D72" s="175" t="s">
        <v>32</v>
      </c>
      <c r="E72" s="2553"/>
      <c r="F72" s="2552"/>
      <c r="G72" s="2552"/>
      <c r="H72" s="188"/>
      <c r="I72" s="2005"/>
      <c r="J72" s="2916"/>
      <c r="K72" s="2916"/>
      <c r="L72" s="2916"/>
      <c r="M72" s="2916"/>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0">
        <f ca="1">C74+C78</f>
        <v>393</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3"/>
      <c r="D75" s="175" t="s">
        <v>32</v>
      </c>
      <c r="E75" s="190" t="s">
        <v>2085</v>
      </c>
      <c r="F75" s="2794"/>
      <c r="G75" s="190" t="s">
        <v>2086</v>
      </c>
      <c r="H75" s="2795"/>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6">
        <v>0.05</v>
      </c>
      <c r="E76" s="3218" t="s">
        <v>2088</v>
      </c>
      <c r="F76" s="3192"/>
      <c r="G76" s="3192"/>
      <c r="H76" s="324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797">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798">
        <f ca="1">ROUND(D45*D78/(1+'数据-取费表'!C42),0)</f>
        <v>393</v>
      </c>
      <c r="D78" s="2799">
        <f>'数据-取费表'!B43</f>
        <v>6.000000000000001E-3</v>
      </c>
      <c r="E78" s="3202" t="s">
        <v>2092</v>
      </c>
      <c r="F78" s="3203"/>
      <c r="G78" s="3203"/>
      <c r="H78" s="321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0">
        <f ca="1">C72-C73</f>
        <v>65041</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0">
        <f ca="1">IF(C79&lt;=0,0,C79/C73)</f>
        <v>165.49872773536896</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1">
        <f ca="1">ROUND(IF(C79&lt;=0,0,IF(C80&gt;=200%,C79*60%-C73*35%,IF(C80&gt;=100%,C79*50%-C73*15%,IF(C80&gt;=50%,C79*40%-C73*5%,IF(C80&lt;50%,C79*30%,0))))),0)</f>
        <v>38887</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4" t="s">
        <v>2096</v>
      </c>
      <c r="B83" s="3245"/>
      <c r="C83" s="3245"/>
      <c r="D83" s="3245"/>
      <c r="E83" s="3245"/>
      <c r="F83" s="3245"/>
      <c r="G83" s="3245"/>
      <c r="H83" s="324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3" t="s">
        <v>2061</v>
      </c>
      <c r="B84" s="322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0">
        <f ca="1">ROUND(D45/(1+'数据-取费表'!C42),0)</f>
        <v>65434</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0">
        <f ca="1">IF(H88="仅含出让金",C87+C90+C91+C92+C93+C94,C87+C91+C92+C93+C94)</f>
        <v>393</v>
      </c>
      <c r="D86" s="2803"/>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798">
        <f>C88+C89</f>
        <v>0</v>
      </c>
      <c r="D87" s="2799"/>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4"/>
      <c r="D88" s="2799"/>
      <c r="E88" s="199" t="s">
        <v>2099</v>
      </c>
      <c r="F88" s="2549"/>
      <c r="G88" s="200" t="s">
        <v>2100</v>
      </c>
      <c r="H88" s="2009"/>
      <c r="I88" s="2006"/>
      <c r="J88" s="2743"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798">
        <f>ROUND(C88*D89,0)</f>
        <v>0</v>
      </c>
      <c r="D89" s="2799">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4"/>
      <c r="D90" s="2799"/>
      <c r="E90" s="199" t="str">
        <f>IF(H88="-","土地取得成本中已包含该笔费用"," ")</f>
        <v xml:space="preserve"> </v>
      </c>
      <c r="F90" s="2549"/>
      <c r="G90" s="3287" t="s">
        <v>2870</v>
      </c>
      <c r="H90" s="3288"/>
      <c r="I90" s="2006"/>
      <c r="J90" s="2743"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798">
        <f>IF(H91="——",成本法!C33,I91)</f>
        <v>0</v>
      </c>
      <c r="D91" s="2799"/>
      <c r="E91" s="3202" t="s">
        <v>2105</v>
      </c>
      <c r="F91" s="3203"/>
      <c r="G91" s="320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798">
        <f>ROUND((C87+C90+C91)*D92,0)</f>
        <v>0</v>
      </c>
      <c r="D92" s="2805"/>
      <c r="E92" s="3202" t="s">
        <v>2108</v>
      </c>
      <c r="F92" s="3203"/>
      <c r="G92" s="3203"/>
      <c r="H92" s="3212"/>
      <c r="I92" s="2006"/>
      <c r="J92" s="2744"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798">
        <f ca="1">ROUND(D45*D93/(1+'数据-取费表'!C42),0)</f>
        <v>393</v>
      </c>
      <c r="D93" s="2799">
        <f>'数据-取费表'!B43</f>
        <v>6.000000000000001E-3</v>
      </c>
      <c r="E93" s="3202" t="s">
        <v>2092</v>
      </c>
      <c r="F93" s="3203"/>
      <c r="G93" s="3203"/>
      <c r="H93" s="321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4">
        <f>ROUND((C87+C90+C91)*D94,0)</f>
        <v>0</v>
      </c>
      <c r="D94" s="2799">
        <v>0.2</v>
      </c>
      <c r="E94" s="3213" t="s">
        <v>2112</v>
      </c>
      <c r="F94" s="3214"/>
      <c r="G94" s="3214"/>
      <c r="H94" s="321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0">
        <f ca="1">ROUND(C85-C86,0)</f>
        <v>65041</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0">
        <f ca="1">IF(C95&lt;=0,0,C95/C86)</f>
        <v>165.49872773536896</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1">
        <f ca="1">ROUND(IF(C95&lt;=0,0,IF(C96&gt;=200%,C95*60%-C86*35%,IF(C96&gt;=100%,C95*50%-C86*15%,IF(C96&gt;=50%,C95*40%-C86*5%,IF(C96&lt;50%,C95*30%,0))))),0)</f>
        <v>38887</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86" t="s">
        <v>2114</v>
      </c>
      <c r="B100" s="3187"/>
      <c r="C100" s="3187"/>
      <c r="D100" s="3204"/>
      <c r="E100" s="3187" t="s">
        <v>2115</v>
      </c>
      <c r="F100" s="3187"/>
      <c r="G100" s="3187"/>
      <c r="H100" s="3204"/>
      <c r="I100" s="134"/>
    </row>
    <row r="101" spans="1:35" ht="18.75" customHeight="1">
      <c r="A101" s="3268" t="s">
        <v>2116</v>
      </c>
      <c r="B101" s="3269"/>
      <c r="C101" s="2807" t="str">
        <f>C4</f>
        <v>成本法</v>
      </c>
      <c r="D101" s="2808" t="str">
        <f>D4</f>
        <v>收益法（汇总）</v>
      </c>
      <c r="E101" s="3282" t="s">
        <v>2117</v>
      </c>
      <c r="F101" s="3236"/>
      <c r="G101" s="2012" t="s">
        <v>2118</v>
      </c>
      <c r="H101" s="2817">
        <f ca="1">H118</f>
        <v>68706</v>
      </c>
      <c r="I101" s="134"/>
    </row>
    <row r="102" spans="1:35" ht="18.75" customHeight="1">
      <c r="A102" s="3238" t="s">
        <v>2119</v>
      </c>
      <c r="B102" s="2806" t="s">
        <v>2118</v>
      </c>
      <c r="C102" s="2807">
        <f ca="1">C19</f>
        <v>76455</v>
      </c>
      <c r="D102" s="2808">
        <f ca="1">D19</f>
        <v>63540</v>
      </c>
      <c r="E102" s="3282"/>
      <c r="F102" s="3236"/>
      <c r="G102" s="2012" t="s">
        <v>2120</v>
      </c>
      <c r="H102" s="2777">
        <f ca="1">I118</f>
        <v>17303</v>
      </c>
      <c r="I102" s="134"/>
    </row>
    <row r="103" spans="1:35" ht="42.75" customHeight="1">
      <c r="A103" s="3238"/>
      <c r="B103" s="2806" t="s">
        <v>2120</v>
      </c>
      <c r="C103" s="2809">
        <f ca="1">C20</f>
        <v>19254</v>
      </c>
      <c r="D103" s="2810">
        <f ca="1">D20</f>
        <v>16002</v>
      </c>
      <c r="E103" s="3276" t="s">
        <v>2121</v>
      </c>
      <c r="F103" s="3277"/>
      <c r="G103" s="2013" t="s">
        <v>2122</v>
      </c>
      <c r="H103" s="2817">
        <f>IF(D36="正常操作",H104+H105+H106,H105+H106)</f>
        <v>0</v>
      </c>
      <c r="I103" s="134"/>
    </row>
    <row r="104" spans="1:35" ht="18.75" customHeight="1">
      <c r="A104" s="3238" t="s">
        <v>2123</v>
      </c>
      <c r="B104" s="2811" t="s">
        <v>2118</v>
      </c>
      <c r="C104" s="2812">
        <f ca="1">H118</f>
        <v>68706</v>
      </c>
      <c r="D104" s="2813"/>
      <c r="E104" s="1859" t="s">
        <v>2124</v>
      </c>
      <c r="F104" s="1850"/>
      <c r="G104" s="2013" t="s">
        <v>2122</v>
      </c>
      <c r="H104" s="2818">
        <f>IF(D36="同一抵押权人同一抵押物续贷",C36&amp;"（续贷，未扣减，详见特别提示）",C36)</f>
        <v>0</v>
      </c>
      <c r="I104" s="134"/>
    </row>
    <row r="105" spans="1:35" ht="18.75" customHeight="1" thickBot="1">
      <c r="A105" s="3239"/>
      <c r="B105" s="2814" t="s">
        <v>2120</v>
      </c>
      <c r="C105" s="2815">
        <f ca="1">I118</f>
        <v>17303</v>
      </c>
      <c r="D105" s="2816"/>
      <c r="E105" s="1859" t="s">
        <v>2125</v>
      </c>
      <c r="F105" s="1850"/>
      <c r="G105" s="2013" t="s">
        <v>2122</v>
      </c>
      <c r="H105" s="2819">
        <f>C37</f>
        <v>0</v>
      </c>
      <c r="I105" s="134"/>
    </row>
    <row r="106" spans="1:35" ht="18.75" customHeight="1">
      <c r="A106" s="1932" t="s">
        <v>2126</v>
      </c>
      <c r="B106" s="1932"/>
      <c r="C106" s="1932"/>
      <c r="D106" s="1932"/>
      <c r="E106" s="2014" t="s">
        <v>2127</v>
      </c>
      <c r="F106" s="1850"/>
      <c r="G106" s="2013" t="s">
        <v>2122</v>
      </c>
      <c r="H106" s="2819">
        <f>C38</f>
        <v>0</v>
      </c>
      <c r="I106" s="134"/>
    </row>
    <row r="107" spans="1:35" ht="18.75" customHeight="1">
      <c r="A107" s="134"/>
      <c r="B107" s="134"/>
      <c r="C107" s="134"/>
      <c r="D107" s="134"/>
      <c r="E107" s="3235" t="str">
        <f>IF(项目基本情况!E8="已注销","——","3.房地产抵押价值")</f>
        <v>3.房地产抵押价值</v>
      </c>
      <c r="F107" s="3236"/>
      <c r="G107" s="2012" t="s">
        <v>2118</v>
      </c>
      <c r="H107" s="2817">
        <f ca="1">IF(E107="——","——",H101-H103)</f>
        <v>68706</v>
      </c>
      <c r="I107" s="134"/>
    </row>
    <row r="108" spans="1:35" ht="18.75" customHeight="1">
      <c r="A108" s="134"/>
      <c r="B108" s="134"/>
      <c r="C108" s="134"/>
      <c r="D108" s="134"/>
      <c r="E108" s="3235"/>
      <c r="F108" s="3236"/>
      <c r="G108" s="2012" t="s">
        <v>2120</v>
      </c>
      <c r="H108" s="2777">
        <f ca="1">ROUND(H107*10000/'数据-汇总表'!E3,0)</f>
        <v>17303</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36"/>
      <c r="G109" s="2012" t="s">
        <v>2118</v>
      </c>
      <c r="H109" s="2820" t="str">
        <f>IF(E109="——","——",H101-H105-H106)</f>
        <v>——</v>
      </c>
      <c r="I109" s="134"/>
    </row>
    <row r="110" spans="1:35" ht="18.75" customHeight="1">
      <c r="A110" s="134"/>
      <c r="B110" s="134"/>
      <c r="C110" s="134"/>
      <c r="D110" s="134"/>
      <c r="E110" s="3235"/>
      <c r="F110" s="3236"/>
      <c r="G110" s="2012" t="s">
        <v>2120</v>
      </c>
      <c r="H110" s="2777" t="str">
        <f>IF(H109="——","——",ROUND(H109*10000/'数据-汇总表'!E3,0))</f>
        <v>——</v>
      </c>
      <c r="I110" s="134"/>
    </row>
    <row r="111" spans="1:35" ht="18.75" customHeight="1">
      <c r="A111" s="134"/>
      <c r="B111" s="134"/>
      <c r="C111" s="134"/>
      <c r="D111" s="134"/>
      <c r="E111" s="3270" t="str">
        <f>IF(项目基本情况!E9="抵押净值",IF(OR(项目基本情况!E8="已注销",项目基本情况!E8="房地产抵押价值"),"4.抵押净值","5.抵押净值"),"——")</f>
        <v>——</v>
      </c>
      <c r="F111" s="3237"/>
      <c r="G111" s="2012" t="s">
        <v>2118</v>
      </c>
      <c r="H111" s="2817" t="str">
        <f>IF(E111="——","——",N59)</f>
        <v>——</v>
      </c>
      <c r="I111" s="134"/>
    </row>
    <row r="112" spans="1:35" ht="18.75" customHeight="1" thickBot="1">
      <c r="A112" s="134"/>
      <c r="B112" s="134"/>
      <c r="C112" s="134"/>
      <c r="D112" s="134"/>
      <c r="E112" s="3271"/>
      <c r="F112" s="3272"/>
      <c r="G112" s="2015" t="s">
        <v>2120</v>
      </c>
      <c r="H112" s="2821" t="str">
        <f>IF(E111="——","——",N61)</f>
        <v>——</v>
      </c>
      <c r="I112" s="134"/>
    </row>
    <row r="113" spans="1:27" ht="18.75" customHeight="1">
      <c r="A113" s="134"/>
      <c r="B113" s="134"/>
      <c r="C113" s="134"/>
      <c r="D113" s="134"/>
      <c r="E113" s="3240" t="s">
        <v>2126</v>
      </c>
      <c r="F113" s="3240"/>
      <c r="G113" s="3240"/>
      <c r="H113" s="3240"/>
      <c r="I113" s="134"/>
    </row>
    <row r="114" spans="1:27" ht="3.75" customHeight="1">
      <c r="A114" s="1932"/>
      <c r="B114" s="1932"/>
      <c r="C114" s="1932"/>
      <c r="D114" s="1932"/>
      <c r="E114" s="1994"/>
      <c r="F114" s="1994"/>
      <c r="G114" s="1994"/>
      <c r="H114" s="1994"/>
      <c r="I114" s="1932"/>
    </row>
    <row r="115" spans="1:27" ht="18.75" customHeight="1">
      <c r="A115" s="3253" t="s">
        <v>2128</v>
      </c>
      <c r="B115" s="3254"/>
      <c r="C115" s="3254"/>
      <c r="D115" s="3254"/>
      <c r="E115" s="3254"/>
      <c r="F115" s="3254"/>
      <c r="G115" s="3254"/>
      <c r="H115" s="3254"/>
      <c r="I115" s="3255"/>
    </row>
    <row r="116" spans="1:27" ht="27" customHeight="1">
      <c r="A116" s="3206" t="s">
        <v>2129</v>
      </c>
      <c r="B116" s="3241" t="s">
        <v>2130</v>
      </c>
      <c r="C116" s="3241" t="s">
        <v>2131</v>
      </c>
      <c r="D116" s="3257" t="s">
        <v>2132</v>
      </c>
      <c r="E116" s="3258"/>
      <c r="F116" s="3249" t="s">
        <v>2133</v>
      </c>
      <c r="G116" s="3249"/>
      <c r="H116" s="3206" t="s">
        <v>2134</v>
      </c>
      <c r="I116" s="3206"/>
    </row>
    <row r="117" spans="1:27" ht="18.75" customHeight="1">
      <c r="A117" s="3206"/>
      <c r="B117" s="3242"/>
      <c r="C117" s="3242"/>
      <c r="D117" s="2551" t="s">
        <v>2135</v>
      </c>
      <c r="E117" s="2551" t="s">
        <v>2136</v>
      </c>
      <c r="F117" s="2551" t="s">
        <v>2135</v>
      </c>
      <c r="G117" s="2551" t="s">
        <v>2137</v>
      </c>
      <c r="H117" s="2551" t="s">
        <v>2135</v>
      </c>
      <c r="I117" s="2551" t="s">
        <v>2137</v>
      </c>
    </row>
    <row r="118" spans="1:27" ht="24.75" customHeight="1">
      <c r="A118" s="2822" t="str">
        <f>项目基本情况!S2</f>
        <v>北京市房地产</v>
      </c>
      <c r="B118" s="2551">
        <f>M18</f>
        <v>39707.960000000006</v>
      </c>
      <c r="C118" s="2551">
        <f>M19</f>
        <v>6294.36</v>
      </c>
      <c r="D118" s="2551">
        <f ca="1">ROUND(IF(D32="总价",C34,E118*B118/10000),0)</f>
        <v>50155</v>
      </c>
      <c r="E118" s="2551">
        <f ca="1">ROUND(IF(C33="自定义",IF(D32="楼面单价",C34,D118*10000/B118),I118-G118),0)</f>
        <v>12631</v>
      </c>
      <c r="F118" s="2551">
        <f ca="1">ROUND(IF(D32="总价",C35,G118*B118/10000),0)</f>
        <v>18551</v>
      </c>
      <c r="G118" s="2551">
        <f ca="1">ROUND(IF(D32="楼面单价",C35,F118*10000/B118),0)</f>
        <v>4672</v>
      </c>
      <c r="H118" s="2551">
        <f ca="1">ROUND(IF(D32="总价",C32,I118*B118/10000),0)</f>
        <v>68706</v>
      </c>
      <c r="I118" s="2551">
        <f ca="1">ROUND(IF(D32="楼面单价",C32,H118*10000/B118),0)</f>
        <v>17303</v>
      </c>
    </row>
    <row r="119" spans="1:27" ht="18.75" customHeight="1">
      <c r="A119" s="3206" t="s">
        <v>2138</v>
      </c>
      <c r="B119" s="3206"/>
      <c r="C119" s="3206"/>
      <c r="D119" s="3246" t="str">
        <f ca="1">NUMBERSTRING(INT(D118*10000),2)&amp;"元整"</f>
        <v>伍亿零壹佰伍拾伍万元整</v>
      </c>
      <c r="E119" s="3248"/>
      <c r="F119" s="3246" t="str">
        <f ca="1">NUMBERSTRING(INT(F118*10000),2)&amp;"元整"</f>
        <v>壹亿捌仟伍佰伍拾壹万元整</v>
      </c>
      <c r="G119" s="3248"/>
      <c r="H119" s="3246" t="str">
        <f ca="1">NUMBERSTRING(INT(H118*10000),2)&amp;"元整"</f>
        <v>陆亿捌仟柒佰零陆万元整</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0" t="s">
        <v>2138</v>
      </c>
      <c r="B121" s="3251"/>
      <c r="C121" s="3252"/>
      <c r="D121" s="3246" t="str">
        <f>IF(D120=0,"零元整",NUMBERSTRING(INT(D120*10000),2)&amp;"元整")</f>
        <v>零元整</v>
      </c>
      <c r="E121" s="3247"/>
      <c r="F121" s="3247"/>
      <c r="G121" s="3247"/>
      <c r="H121" s="3247"/>
      <c r="I121" s="3248"/>
      <c r="AA121" s="734"/>
    </row>
    <row r="122" spans="1:27" ht="18.75" customHeight="1">
      <c r="A122" s="3237" t="str">
        <f>IF(项目基本情况!B9="房地产市场价值","",MID(E107,3,LEN(E107)-2))</f>
        <v>房地产抵押价值</v>
      </c>
      <c r="B122" s="3237"/>
      <c r="C122" s="3237"/>
      <c r="D122" s="3273">
        <f ca="1">H107</f>
        <v>68706</v>
      </c>
      <c r="E122" s="3274"/>
      <c r="F122" s="3274"/>
      <c r="G122" s="3274"/>
      <c r="H122" s="3274"/>
      <c r="I122" s="3275"/>
      <c r="AA122" s="734"/>
    </row>
    <row r="123" spans="1:27" ht="18.75" customHeight="1">
      <c r="A123" s="3206" t="s">
        <v>2138</v>
      </c>
      <c r="B123" s="3206"/>
      <c r="C123" s="3206"/>
      <c r="D123" s="3246" t="str">
        <f ca="1">NUMBERSTRING(INT(D122*10000),2)&amp;"元整"</f>
        <v>陆亿捌仟柒佰零陆万元整</v>
      </c>
      <c r="E123" s="3247"/>
      <c r="F123" s="3247"/>
      <c r="G123" s="3247"/>
      <c r="H123" s="3247"/>
      <c r="I123" s="3248"/>
      <c r="AA123" s="734"/>
    </row>
    <row r="124" spans="1:27" ht="18.75" customHeight="1">
      <c r="A124" s="3237" t="str">
        <f>IF(项目基本情况!B9="房地产市场价值","",MID(E109,3,LEN(E109)-2))</f>
        <v/>
      </c>
      <c r="B124" s="3237"/>
      <c r="C124" s="3237"/>
      <c r="D124" s="3273" t="str">
        <f>H109</f>
        <v>——</v>
      </c>
      <c r="E124" s="3274"/>
      <c r="F124" s="3274"/>
      <c r="G124" s="3274"/>
      <c r="H124" s="3274"/>
      <c r="I124" s="3275"/>
      <c r="AA124" s="734"/>
    </row>
    <row r="125" spans="1:27" ht="18.75" customHeight="1">
      <c r="A125" s="3206" t="s">
        <v>2138</v>
      </c>
      <c r="B125" s="3206"/>
      <c r="C125" s="3206"/>
      <c r="D125" s="3246" t="e">
        <f>NUMBERSTRING(INT(D124*10000),2)&amp;"元整"</f>
        <v>#VALUE!</v>
      </c>
      <c r="E125" s="3247"/>
      <c r="F125" s="3247"/>
      <c r="G125" s="3247"/>
      <c r="H125" s="3247"/>
      <c r="I125" s="3248"/>
      <c r="AA125" s="734"/>
    </row>
    <row r="126" spans="1:27" ht="18.75" customHeight="1">
      <c r="A126" s="3237" t="str">
        <f>IF(项目基本情况!B9="房地产市场价值","",MID(E111,3,LEN(E111)-2))</f>
        <v/>
      </c>
      <c r="B126" s="3237"/>
      <c r="C126" s="3237"/>
      <c r="D126" s="3273" t="str">
        <f>H111</f>
        <v>——</v>
      </c>
      <c r="E126" s="3274"/>
      <c r="F126" s="3274"/>
      <c r="G126" s="3274"/>
      <c r="H126" s="3274"/>
      <c r="I126" s="3275"/>
      <c r="AA126" s="734"/>
    </row>
    <row r="127" spans="1:27" ht="18.75" customHeight="1">
      <c r="A127" s="3206" t="s">
        <v>2138</v>
      </c>
      <c r="B127" s="3206"/>
      <c r="C127" s="3206"/>
      <c r="D127" s="3246" t="e">
        <f>NUMBERSTRING(INT(D126*10000),2)&amp;"元整"</f>
        <v>#VALUE!</v>
      </c>
      <c r="E127" s="3247"/>
      <c r="F127" s="3247"/>
      <c r="G127" s="3247"/>
      <c r="H127" s="3247"/>
      <c r="I127" s="3248"/>
      <c r="AA127" s="734"/>
    </row>
    <row r="128" spans="1:27" ht="21.75" customHeight="1">
      <c r="A128" s="3256" t="s">
        <v>2139</v>
      </c>
      <c r="B128" s="3256"/>
      <c r="C128" s="3256"/>
      <c r="D128" s="3256"/>
      <c r="E128" s="3256"/>
      <c r="F128" s="3256"/>
      <c r="G128" s="3256"/>
      <c r="H128" s="3256"/>
      <c r="I128" s="3256"/>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0" t="str">
        <f>项目基本情况!B1</f>
        <v>北京市房地产抵押价值预评估</v>
      </c>
      <c r="C37" s="3100"/>
      <c r="D37" s="3100"/>
      <c r="E37" s="3100"/>
      <c r="F37" s="3100"/>
      <c r="G37" s="3100"/>
      <c r="H37" s="3100"/>
      <c r="I37" s="310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8</v>
      </c>
    </row>
    <row r="2" spans="1:9" s="206" customFormat="1" ht="18" customHeight="1">
      <c r="A2" s="207" t="s">
        <v>2148</v>
      </c>
      <c r="B2" s="208">
        <f ca="1">IF(D2="——",C52,C52-E2)</f>
        <v>76455</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19254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40338</v>
      </c>
      <c r="D5" s="217" t="s">
        <v>2155</v>
      </c>
      <c r="E5" s="218" t="s">
        <v>2156</v>
      </c>
      <c r="F5" s="218" t="s">
        <v>2157</v>
      </c>
      <c r="G5" s="219"/>
    </row>
    <row r="6" spans="1:9" s="220" customFormat="1" ht="13.5" customHeight="1">
      <c r="A6" s="886" t="s">
        <v>2158</v>
      </c>
      <c r="B6" s="221" t="s">
        <v>2159</v>
      </c>
      <c r="C6" s="222">
        <f>'土地比较法-住宅、综合'!F66</f>
        <v>38374</v>
      </c>
      <c r="D6" s="223"/>
      <c r="E6" s="224"/>
      <c r="F6" s="224"/>
      <c r="G6" s="225"/>
    </row>
    <row r="7" spans="1:9" s="220" customFormat="1" ht="13.5" customHeight="1">
      <c r="A7" s="886" t="s">
        <v>2160</v>
      </c>
      <c r="B7" s="221" t="s">
        <v>2161</v>
      </c>
      <c r="C7" s="226">
        <f>ROUND(C6*F7,0)</f>
        <v>1170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794</v>
      </c>
      <c r="D8" s="228"/>
      <c r="E8" s="226"/>
      <c r="F8" s="227"/>
      <c r="G8" s="2041" t="s">
        <v>3099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2" t="s">
        <v>3100</v>
      </c>
      <c r="H9" s="1299"/>
      <c r="I9" s="2043" t="s">
        <v>2165</v>
      </c>
    </row>
    <row r="10" spans="1:9" s="220" customFormat="1" ht="13.5" customHeight="1">
      <c r="A10" s="887" t="s">
        <v>801</v>
      </c>
      <c r="B10" s="230" t="s">
        <v>2166</v>
      </c>
      <c r="C10" s="231">
        <f ca="1">ROUND(D10*E10/10000,0)</f>
        <v>794</v>
      </c>
      <c r="D10" s="954">
        <f ca="1">IF(B1="",'数据-汇总表'!E6,IF(INDIRECT("'数据-取费表'!c"&amp;$G$1)="住宅",INDIRECT("'数据-取费表'!s"&amp;$G$1),INDIRECT("'数据-取费表'!k"&amp;$G$1)+INDIRECT("'数据-取费表'!s"&amp;$G$1)))</f>
        <v>39707.960000000006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39707.960000000006</v>
      </c>
      <c r="E19" s="217">
        <f>'数据-取费表'!B31</f>
        <v>200</v>
      </c>
      <c r="F19" s="237"/>
      <c r="G19" s="2041" t="s">
        <v>3098</v>
      </c>
    </row>
    <row r="20" spans="1:7" s="220" customFormat="1" ht="13.5" customHeight="1">
      <c r="A20" s="261" t="s">
        <v>2179</v>
      </c>
      <c r="B20" s="216" t="s">
        <v>2180</v>
      </c>
      <c r="C20" s="238">
        <f ca="1">ROUND((C5+C19)*F20,0)</f>
        <v>807</v>
      </c>
      <c r="D20" s="238"/>
      <c r="E20" s="238"/>
      <c r="F20" s="239">
        <f>'数据-取费表'!B37</f>
        <v>0.02</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3621</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3586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35</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7406</v>
      </c>
      <c r="D27" s="241">
        <f ca="1">C29</f>
        <v>1.8E-3</v>
      </c>
      <c r="E27" s="242" t="s">
        <v>2200</v>
      </c>
      <c r="F27" s="252">
        <f ca="1">IF(B1="",'数据-取费表'!Q16,INDIRECT("'数据-取费表'!q"&amp;$G$1))</f>
        <v>0.18</v>
      </c>
      <c r="G27" s="253" t="s">
        <v>2201</v>
      </c>
    </row>
    <row r="28" spans="1:7" s="220" customFormat="1" ht="13.5" customHeight="1">
      <c r="A28" s="888" t="s">
        <v>791</v>
      </c>
      <c r="B28" s="254" t="s">
        <v>2202</v>
      </c>
      <c r="C28" s="255">
        <f ca="1">ROUND((C5+C19+C20)*F27*'数据-取费表'!B21/'数据-取费表'!B20,0)</f>
        <v>7406</v>
      </c>
      <c r="D28" s="241"/>
      <c r="E28" s="242"/>
      <c r="F28" s="252"/>
      <c r="G28" s="253"/>
    </row>
    <row r="29" spans="1:7" s="220" customFormat="1" ht="13.5" customHeight="1">
      <c r="A29" s="888" t="s">
        <v>792</v>
      </c>
      <c r="B29" s="254" t="s">
        <v>2203</v>
      </c>
      <c r="C29" s="244">
        <f ca="1">ROUND(C21*F27*'数据-取费表'!B21/'数据-取费表'!B20,4)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55829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16609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15134</v>
      </c>
      <c r="D34" s="223"/>
      <c r="E34" s="226"/>
      <c r="F34" s="263">
        <f ca="1">IF('数据-取费表'!B24=0,1,IF(B1="",'数据-取费表'!N16,INDIRECT("'数据-取费表'!n"&amp;$G$1)))</f>
        <v>1</v>
      </c>
      <c r="G34" s="225" t="s">
        <v>2212</v>
      </c>
    </row>
    <row r="35" spans="1:7" ht="13.5" customHeight="1">
      <c r="A35" s="888" t="s">
        <v>796</v>
      </c>
      <c r="B35" s="221" t="s">
        <v>2213</v>
      </c>
      <c r="C35" s="226">
        <f ca="1">ROUND(C34*F35,0)</f>
        <v>454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794</v>
      </c>
      <c r="D37" s="223">
        <f ca="1">D19</f>
        <v>39707.960000000006</v>
      </c>
      <c r="E37" s="255">
        <f>'数据-取费表'!B35</f>
        <v>200</v>
      </c>
      <c r="F37" s="265"/>
      <c r="G37" s="267" t="s">
        <v>2218</v>
      </c>
    </row>
    <row r="38" spans="1:7" ht="13.5" customHeight="1">
      <c r="A38" s="888" t="s">
        <v>799</v>
      </c>
      <c r="B38" s="221" t="s">
        <v>2219</v>
      </c>
      <c r="C38" s="226">
        <f ca="1">ROUND(C34*F38,0)</f>
        <v>227</v>
      </c>
      <c r="D38" s="226"/>
      <c r="E38" s="226"/>
      <c r="F38" s="265">
        <f>'数据-取费表'!B36</f>
        <v>1.4999999999999999E-2</v>
      </c>
      <c r="G38" s="225" t="s">
        <v>2214</v>
      </c>
    </row>
    <row r="39" spans="1:7" s="220" customFormat="1" ht="13.5" customHeight="1">
      <c r="A39" s="261" t="s">
        <v>2220</v>
      </c>
      <c r="B39" s="216" t="s">
        <v>2221</v>
      </c>
      <c r="C39" s="238">
        <f ca="1">ROUND(C33*F20,0)</f>
        <v>332</v>
      </c>
      <c r="D39" s="238"/>
      <c r="E39" s="238"/>
      <c r="F39" s="2534">
        <f>F20</f>
        <v>0.02</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736</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722</v>
      </c>
      <c r="D42" s="244"/>
      <c r="E42" s="244"/>
      <c r="F42" s="245"/>
      <c r="G42" s="3289" t="s">
        <v>2230</v>
      </c>
    </row>
    <row r="43" spans="1:7" ht="13.5" customHeight="1">
      <c r="A43" s="888" t="s">
        <v>792</v>
      </c>
      <c r="B43" s="221" t="s">
        <v>2231</v>
      </c>
      <c r="C43" s="244">
        <f ca="1">ROUND(IF('数据-取费表'!B22&lt;=1,C39*F22*'数据-取费表'!B21/2,C39*(POWER((1+F22),'数据-取费表'!B21/2)-1)),0)</f>
        <v>14</v>
      </c>
      <c r="D43" s="244"/>
      <c r="E43" s="244"/>
      <c r="F43" s="245"/>
      <c r="G43" s="3290"/>
    </row>
    <row r="44" spans="1:7" ht="13.5" customHeight="1">
      <c r="A44" s="888" t="s">
        <v>793</v>
      </c>
      <c r="B44" s="221" t="s">
        <v>2232</v>
      </c>
      <c r="C44" s="244">
        <f ca="1">ROUND(IF('数据-取费表'!B22&lt;=1,C40*F22*'数据-取费表'!B21/2,C40*(POWER((1+F22),'数据-取费表'!B21/2)-1)),4)</f>
        <v>4.0000000000000002E-4</v>
      </c>
      <c r="D44" s="244"/>
      <c r="E44" s="244"/>
      <c r="F44" s="245"/>
      <c r="G44" s="3291"/>
    </row>
    <row r="45" spans="1:7" s="220" customFormat="1" ht="13.5" customHeight="1">
      <c r="A45" s="261" t="s">
        <v>2233</v>
      </c>
      <c r="B45" s="250" t="s">
        <v>2199</v>
      </c>
      <c r="C45" s="251">
        <f ca="1">C46</f>
        <v>3049</v>
      </c>
      <c r="D45" s="241">
        <f ca="1">C47</f>
        <v>1.8E-3</v>
      </c>
      <c r="E45" s="242" t="s">
        <v>2225</v>
      </c>
      <c r="F45" s="2536">
        <f ca="1">F27</f>
        <v>0.18</v>
      </c>
      <c r="G45" s="253" t="s">
        <v>2234</v>
      </c>
    </row>
    <row r="46" spans="1:7" s="220" customFormat="1" ht="13.5" customHeight="1">
      <c r="A46" s="888" t="s">
        <v>791</v>
      </c>
      <c r="B46" s="254" t="s">
        <v>2235</v>
      </c>
      <c r="C46" s="255">
        <f ca="1">ROUND((C33+C39)*F27,0)</f>
        <v>3049</v>
      </c>
      <c r="D46" s="269"/>
      <c r="E46" s="242"/>
      <c r="F46" s="252"/>
      <c r="G46" s="253"/>
    </row>
    <row r="47" spans="1:7" s="220" customFormat="1" ht="13.5" customHeight="1">
      <c r="A47" s="888" t="s">
        <v>792</v>
      </c>
      <c r="B47" s="254" t="s">
        <v>2236</v>
      </c>
      <c r="C47" s="244">
        <f ca="1">ROUND(C40*F27,4)</f>
        <v>1.8E-3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22179</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20626</v>
      </c>
      <c r="D51" s="238"/>
      <c r="E51" s="238"/>
      <c r="F51" s="270"/>
      <c r="G51" s="240" t="s">
        <v>2246</v>
      </c>
    </row>
    <row r="52" spans="1:7" s="214" customFormat="1" ht="16.5" thickBot="1">
      <c r="A52" s="271" t="s">
        <v>2247</v>
      </c>
      <c r="B52" s="272"/>
      <c r="C52" s="273">
        <f ca="1">C31+C51</f>
        <v>76455</v>
      </c>
      <c r="D52" s="272"/>
      <c r="E52" s="272"/>
      <c r="F52" s="272"/>
      <c r="G52" s="274"/>
    </row>
    <row r="55" spans="1:7" ht="15">
      <c r="B55" s="276" t="s">
        <v>2248</v>
      </c>
      <c r="C55" s="277"/>
    </row>
    <row r="56" spans="1:7">
      <c r="B56" s="279" t="s">
        <v>1478</v>
      </c>
      <c r="C56" s="281">
        <f ca="1">1-C57</f>
        <v>0.73</v>
      </c>
    </row>
    <row r="57" spans="1:7">
      <c r="B57" s="279" t="s">
        <v>1479</v>
      </c>
      <c r="C57" s="280">
        <f ca="1">ROUND(C51/C52,3)</f>
        <v>0.27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22825</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5748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7941592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7941592</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7941592</v>
      </c>
      <c r="D10" s="954">
        <f ca="1">IF(B1="",'数据-汇总表'!E6,IF(INDIRECT("'数据-取费表'!c"&amp;$G$1)="住宅",INDIRECT("'数据-取费表'!s"&amp;$G$1),INDIRECT("'数据-取费表'!k"&amp;$G$1)+INDIRECT("'数据-取费表'!s"&amp;$G$1)))</f>
        <v>39707.960000000006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7941592</v>
      </c>
      <c r="D19" s="958">
        <f ca="1">D9+D10</f>
        <v>39707.960000000006</v>
      </c>
      <c r="E19" s="217">
        <f>'数据-取费表'!B31</f>
        <v>200</v>
      </c>
      <c r="F19" s="237"/>
      <c r="G19" s="2041"/>
    </row>
    <row r="20" spans="1:7" s="220" customFormat="1" ht="13.5" customHeight="1">
      <c r="A20" s="261" t="s">
        <v>2260</v>
      </c>
      <c r="B20" s="216" t="s">
        <v>2261</v>
      </c>
      <c r="C20" s="238">
        <f ca="1">ROUND((C5+C19)*F20,0)</f>
        <v>317664</v>
      </c>
      <c r="D20" s="238"/>
      <c r="E20" s="238"/>
      <c r="F20" s="239">
        <f>'数据-取费表'!B37</f>
        <v>0.02</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1425710</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705946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705946</v>
      </c>
      <c r="D24" s="244"/>
      <c r="E24" s="244"/>
      <c r="F24" s="245"/>
      <c r="G24" s="246" t="s">
        <v>2272</v>
      </c>
    </row>
    <row r="25" spans="1:7" s="220" customFormat="1" ht="24">
      <c r="A25" s="888" t="s">
        <v>2162</v>
      </c>
      <c r="B25" s="221" t="s">
        <v>2273</v>
      </c>
      <c r="C25" s="1290">
        <f ca="1">ROUND(IF('数据-取费表'!B22&lt;=1,C20*F22*'数据-取费表'!B22/2,C20*(POWER((1+F22),'数据-取费表'!B22/2)-1)),0)</f>
        <v>13818</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2916153</v>
      </c>
      <c r="D27" s="241">
        <f ca="1">C29</f>
        <v>1.8E-3</v>
      </c>
      <c r="E27" s="242" t="s">
        <v>2200</v>
      </c>
      <c r="F27" s="252">
        <f ca="1">IF(B1="",'数据-取费表'!Q16,INDIRECT("'数据-取费表'!q"&amp;$G$1))</f>
        <v>0.18</v>
      </c>
      <c r="G27" s="253" t="s">
        <v>2201</v>
      </c>
    </row>
    <row r="28" spans="1:7" s="220" customFormat="1" ht="13.5" customHeight="1">
      <c r="A28" s="888" t="s">
        <v>791</v>
      </c>
      <c r="B28" s="254" t="s">
        <v>2202</v>
      </c>
      <c r="C28" s="255">
        <f ca="1">ROUND((C5+C19+C20)*F27,0)</f>
        <v>2916153</v>
      </c>
      <c r="D28" s="241"/>
      <c r="E28" s="242"/>
      <c r="F28" s="252"/>
      <c r="G28" s="253"/>
    </row>
    <row r="29" spans="1:7" s="220" customFormat="1" ht="13.5" customHeight="1">
      <c r="A29" s="888" t="s">
        <v>792</v>
      </c>
      <c r="B29" s="254" t="s">
        <v>2203</v>
      </c>
      <c r="C29" s="244">
        <f ca="1">ROUND(C21*F27,4)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21982569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166082320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151330840</v>
      </c>
      <c r="D34" s="223"/>
      <c r="E34" s="226"/>
      <c r="F34" s="263"/>
      <c r="G34" s="225"/>
    </row>
    <row r="35" spans="1:7" ht="13.5" customHeight="1">
      <c r="A35" s="888" t="s">
        <v>796</v>
      </c>
      <c r="B35" s="221" t="s">
        <v>2213</v>
      </c>
      <c r="C35" s="226">
        <f ca="1">ROUND(C34*F35,0)</f>
        <v>4539925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7941592</v>
      </c>
      <c r="D37" s="223">
        <f ca="1">D19</f>
        <v>39707.960000000006</v>
      </c>
      <c r="E37" s="255">
        <f>'数据-取费表'!B35</f>
        <v>200</v>
      </c>
      <c r="F37" s="265"/>
      <c r="G37" s="267"/>
    </row>
    <row r="38" spans="1:7" ht="13.5" customHeight="1">
      <c r="A38" s="888" t="s">
        <v>799</v>
      </c>
      <c r="B38" s="221" t="s">
        <v>2219</v>
      </c>
      <c r="C38" s="226">
        <f ca="1">ROUND(C34*F38,0)</f>
        <v>2269963</v>
      </c>
      <c r="D38" s="226"/>
      <c r="E38" s="226"/>
      <c r="F38" s="265">
        <f>'数据-取费表'!B36</f>
        <v>1.4999999999999999E-2</v>
      </c>
      <c r="G38" s="225" t="s">
        <v>2214</v>
      </c>
    </row>
    <row r="39" spans="1:7" s="220" customFormat="1" ht="13.5" customHeight="1">
      <c r="A39" s="261" t="s">
        <v>2220</v>
      </c>
      <c r="B39" s="216" t="s">
        <v>2221</v>
      </c>
      <c r="C39" s="238">
        <f ca="1">ROUND(C33*F20,0)</f>
        <v>3321646</v>
      </c>
      <c r="D39" s="238"/>
      <c r="E39" s="238"/>
      <c r="F39" s="2534">
        <f>F20</f>
        <v>0.02</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7369073</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7224581</v>
      </c>
      <c r="D42" s="244"/>
      <c r="E42" s="244"/>
      <c r="F42" s="245"/>
      <c r="G42" s="3289" t="s">
        <v>2277</v>
      </c>
    </row>
    <row r="43" spans="1:7" ht="13.5" customHeight="1">
      <c r="A43" s="888" t="s">
        <v>792</v>
      </c>
      <c r="B43" s="221" t="s">
        <v>2231</v>
      </c>
      <c r="C43" s="244">
        <f ca="1">ROUND(IF('数据-取费表'!B22&lt;=1,C39*F22*'数据-取费表'!B20/2,C39*(POWER((1+F22),'数据-取费表'!B20/2)-1)),0)</f>
        <v>144492</v>
      </c>
      <c r="D43" s="244"/>
      <c r="E43" s="244"/>
      <c r="F43" s="245"/>
      <c r="G43" s="3290"/>
    </row>
    <row r="44" spans="1:7" ht="13.5" customHeight="1">
      <c r="A44" s="888" t="s">
        <v>793</v>
      </c>
      <c r="B44" s="221" t="s">
        <v>2232</v>
      </c>
      <c r="C44" s="244">
        <f ca="1">ROUND(IF('数据-取费表'!B22&lt;=1,C40*F22*'数据-取费表'!B20/2,C40*(POWER((1+F22),'数据-取费表'!B20/2)-1)),4)</f>
        <v>4.0000000000000002E-4</v>
      </c>
      <c r="D44" s="244"/>
      <c r="E44" s="244"/>
      <c r="F44" s="245"/>
      <c r="G44" s="3291"/>
    </row>
    <row r="45" spans="1:7" s="220" customFormat="1" ht="13.5" customHeight="1">
      <c r="A45" s="261" t="s">
        <v>2233</v>
      </c>
      <c r="B45" s="250" t="s">
        <v>2199</v>
      </c>
      <c r="C45" s="251">
        <f ca="1">C46</f>
        <v>30492714</v>
      </c>
      <c r="D45" s="241">
        <f ca="1">C47</f>
        <v>1.8E-3</v>
      </c>
      <c r="E45" s="242" t="s">
        <v>2225</v>
      </c>
      <c r="F45" s="2536">
        <f ca="1">F27</f>
        <v>0.18</v>
      </c>
      <c r="G45" s="253" t="s">
        <v>2234</v>
      </c>
    </row>
    <row r="46" spans="1:7" s="220" customFormat="1" ht="13.5" customHeight="1">
      <c r="A46" s="888" t="s">
        <v>791</v>
      </c>
      <c r="B46" s="254" t="s">
        <v>2235</v>
      </c>
      <c r="C46" s="255">
        <f ca="1">ROUND((C33+C39)*F27,0)</f>
        <v>30492714</v>
      </c>
      <c r="D46" s="269"/>
      <c r="E46" s="242"/>
      <c r="F46" s="252"/>
      <c r="G46" s="253"/>
    </row>
    <row r="47" spans="1:7" s="220" customFormat="1" ht="13.5" customHeight="1">
      <c r="A47" s="888" t="s">
        <v>792</v>
      </c>
      <c r="B47" s="254" t="s">
        <v>2236</v>
      </c>
      <c r="C47" s="244">
        <f ca="1">ROUND(C40*F27,4)</f>
        <v>1.8E-3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221793208</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206267683</v>
      </c>
      <c r="D51" s="238"/>
      <c r="E51" s="238"/>
      <c r="F51" s="270"/>
      <c r="G51" s="240" t="s">
        <v>2246</v>
      </c>
    </row>
    <row r="52" spans="1:7" s="214" customFormat="1" ht="16.5" thickBot="1">
      <c r="A52" s="271" t="s">
        <v>2247</v>
      </c>
      <c r="B52" s="272"/>
      <c r="C52" s="273">
        <f ca="1">C31+C51</f>
        <v>228250252</v>
      </c>
      <c r="D52" s="272"/>
      <c r="E52" s="272"/>
      <c r="F52" s="272"/>
      <c r="G52" s="274"/>
    </row>
    <row r="55" spans="1:7" ht="15">
      <c r="B55" s="276" t="s">
        <v>2248</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3"/>
      <c r="F1" s="3033"/>
      <c r="G1" s="2896"/>
      <c r="H1" s="3033"/>
      <c r="I1" s="3033"/>
      <c r="J1" s="3033"/>
      <c r="K1" s="3034">
        <f>MATCH(C1,'数据-取费表'!A6:A16,0)+5</f>
        <v>8</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7219.03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39707.960000000006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39707.960000000006</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2316</v>
      </c>
      <c r="C20" s="24">
        <f ca="1">ROUND(D20*E20/10000,0)</f>
        <v>794</v>
      </c>
      <c r="D20" s="955">
        <f ca="1">IF(C1="",'数据-汇总表'!E6,IF(INDIRECT("'数据-取费表'!c"&amp;$K$1)="住宅",INDIRECT("'数据-取费表'!s"&amp;$K$1),INDIRECT("'数据-取费表'!k"&amp;$K$1)+INDIRECT("'数据-取费表'!s"&amp;$K$1)))</f>
        <v>39707.960000000006</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31" zoomScale="80" zoomScaleNormal="60" zoomScaleSheetLayoutView="80" workbookViewId="0">
      <selection activeCell="K40" sqref="K40"/>
    </sheetView>
  </sheetViews>
  <sheetFormatPr defaultColWidth="9" defaultRowHeight="14.25"/>
  <cols>
    <col min="1" max="1" width="14.375" style="363" customWidth="1"/>
    <col min="2" max="2" width="15.75" style="363" customWidth="1"/>
    <col min="3" max="3" width="16.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38374</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9664</v>
      </c>
      <c r="C3" s="209" t="s">
        <v>2567</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30" ht="15">
      <c r="A5" s="364"/>
      <c r="B5" s="365"/>
      <c r="C5" s="3326" t="s">
        <v>2363</v>
      </c>
      <c r="D5" s="3327"/>
      <c r="E5" s="3333" t="str">
        <f>土地案例!A23</f>
        <v>北京市门头沟区永定镇MC00-0018-0060、0061地块B4综合性商业金融服务业用地</v>
      </c>
      <c r="F5" s="3334"/>
      <c r="G5" s="3326" t="str">
        <f>土地案例!A24</f>
        <v>北京市石景山区中关村科技园区石景山园北I区1605-636地块B23研发设计用地</v>
      </c>
      <c r="H5" s="3327"/>
      <c r="I5" s="3326" t="str">
        <f>土地案例!A25</f>
        <v>北京市石景山区中关村科技园区石景山园北I区1605-651地块B23研发设计用地</v>
      </c>
      <c r="J5" s="3327"/>
      <c r="K5" s="567"/>
      <c r="L5" s="2940"/>
      <c r="M5" s="2941"/>
      <c r="N5" s="2941"/>
      <c r="O5" s="2941"/>
      <c r="P5" s="3314"/>
      <c r="Q5" s="3315"/>
      <c r="R5" s="3320"/>
      <c r="S5" s="3321"/>
      <c r="T5" s="3320"/>
      <c r="U5" s="3321"/>
      <c r="V5" s="3305"/>
      <c r="W5" s="3305"/>
      <c r="X5" s="1538"/>
      <c r="Y5" s="3320"/>
      <c r="Z5" s="3321"/>
      <c r="AA5" s="3307"/>
      <c r="AB5" s="3307"/>
      <c r="AC5" s="3307"/>
    </row>
    <row r="6" spans="1:30"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8"/>
      <c r="AC6" s="3308"/>
    </row>
    <row r="7" spans="1:30" s="113" customFormat="1" ht="15.75" thickBot="1">
      <c r="A7" s="368" t="s">
        <v>2369</v>
      </c>
      <c r="B7" s="369"/>
      <c r="C7" s="370">
        <f>'数据-取费表'!B2</f>
        <v>44515</v>
      </c>
      <c r="D7" s="371">
        <v>100</v>
      </c>
      <c r="E7" s="372" t="str">
        <f>土地案例!J23</f>
        <v>2018-02-28</v>
      </c>
      <c r="F7" s="373">
        <f>SUMIF(70:70,YEAR(E7)&amp;"-"&amp;INT((MONTH(E7)+2)/3),71:71)</f>
        <v>92.5</v>
      </c>
      <c r="G7" s="2159" t="str">
        <f>土地案例!J24</f>
        <v>2018-01-09</v>
      </c>
      <c r="H7" s="371">
        <f>SUMIF(70:70,YEAR(G7)&amp;"-"&amp;INT((MONTH(G7)+2)/3),71:71)</f>
        <v>92.5</v>
      </c>
      <c r="I7" s="2159" t="str">
        <f>土地案例!J25</f>
        <v>2018-01-09</v>
      </c>
      <c r="J7" s="371">
        <f>SUMIF(70:70,YEAR(I7)&amp;"-"&amp;INT((MONTH(I7)+2)/3),71:71)</f>
        <v>92.5</v>
      </c>
      <c r="K7" s="568"/>
      <c r="L7" s="2942"/>
      <c r="M7" s="2943"/>
      <c r="N7" s="2943"/>
      <c r="O7" s="2943"/>
      <c r="P7" s="3328" t="s">
        <v>2370</v>
      </c>
      <c r="Q7" s="3330"/>
      <c r="R7" s="710" t="s">
        <v>17</v>
      </c>
      <c r="S7" s="711">
        <f t="shared" ref="S7:S15" si="0">F7</f>
        <v>92.5</v>
      </c>
      <c r="T7" s="710" t="s">
        <v>17</v>
      </c>
      <c r="U7" s="711">
        <f t="shared" ref="U7:U15" si="1">H7</f>
        <v>92.5</v>
      </c>
      <c r="V7" s="710" t="s">
        <v>17</v>
      </c>
      <c r="W7" s="711">
        <f t="shared" ref="W7:W15" si="2">J7</f>
        <v>92.5</v>
      </c>
      <c r="X7" s="712"/>
      <c r="Y7" s="3328" t="s">
        <v>2370</v>
      </c>
      <c r="Z7" s="3329"/>
      <c r="AA7" s="713">
        <f>D7/F7</f>
        <v>1.0810810810810811</v>
      </c>
      <c r="AB7" s="713">
        <f>D7/H7</f>
        <v>1.0810810810810811</v>
      </c>
      <c r="AC7" s="713">
        <f>D7/J7</f>
        <v>1.0810810810810811</v>
      </c>
    </row>
    <row r="8" spans="1:30" s="113" customFormat="1" ht="15.75" thickBot="1">
      <c r="A8" s="368" t="s">
        <v>2371</v>
      </c>
      <c r="B8" s="369"/>
      <c r="C8" s="374" t="s">
        <v>2372</v>
      </c>
      <c r="D8" s="371">
        <v>100</v>
      </c>
      <c r="E8" s="374" t="s">
        <v>3266</v>
      </c>
      <c r="F8" s="373">
        <f>SUMIF(73:73,E8,74:74)-SUMIF(73:73,C8,74:74)+100</f>
        <v>100</v>
      </c>
      <c r="G8" s="374" t="s">
        <v>3266</v>
      </c>
      <c r="H8" s="371">
        <f>SUMIF(73:73,G8,74:74)-SUMIF(73:73,C8,74:74)+100</f>
        <v>100</v>
      </c>
      <c r="I8" s="374" t="s">
        <v>3266</v>
      </c>
      <c r="J8" s="371">
        <f>SUMIF(73:73,I8,74:74)-SUMIF(73:73,C8,74:74)+100</f>
        <v>100</v>
      </c>
      <c r="K8" s="568"/>
      <c r="L8" s="2942"/>
      <c r="M8" s="2943"/>
      <c r="N8" s="2943"/>
      <c r="O8" s="2943"/>
      <c r="P8" s="3328" t="s">
        <v>2373</v>
      </c>
      <c r="Q8" s="3329"/>
      <c r="R8" s="710" t="s">
        <v>17</v>
      </c>
      <c r="S8" s="711">
        <f t="shared" si="0"/>
        <v>100</v>
      </c>
      <c r="T8" s="710" t="s">
        <v>17</v>
      </c>
      <c r="U8" s="711">
        <f t="shared" si="1"/>
        <v>100</v>
      </c>
      <c r="V8" s="710" t="s">
        <v>17</v>
      </c>
      <c r="W8" s="711">
        <f t="shared" si="2"/>
        <v>100</v>
      </c>
      <c r="X8" s="712"/>
      <c r="Y8" s="3328" t="s">
        <v>2373</v>
      </c>
      <c r="Z8" s="3329"/>
      <c r="AA8" s="713">
        <f t="shared" ref="AA8:AA45" si="3">D8/F8</f>
        <v>1</v>
      </c>
      <c r="AB8" s="713">
        <f t="shared" ref="AB8:AB45" si="4">D8/H8</f>
        <v>1</v>
      </c>
      <c r="AC8" s="713">
        <f t="shared" ref="AC8:AC45" si="5">D8/J8</f>
        <v>1</v>
      </c>
    </row>
    <row r="9" spans="1:30" s="113" customFormat="1" ht="15">
      <c r="A9" s="375" t="s">
        <v>2374</v>
      </c>
      <c r="B9" s="67" t="s">
        <v>2375</v>
      </c>
      <c r="C9" s="2162" t="s">
        <v>3248</v>
      </c>
      <c r="D9" s="131">
        <v>100</v>
      </c>
      <c r="E9" s="2162" t="s">
        <v>3267</v>
      </c>
      <c r="F9" s="131">
        <f>SUMIF(75:75,E9,76:76)-SUMIF(75:75,C9,76:76)+100</f>
        <v>110</v>
      </c>
      <c r="G9" s="2162" t="s">
        <v>3248</v>
      </c>
      <c r="H9" s="131">
        <f>SUMIF(75:75,G9,76:76)-SUMIF(75:75,C9,76:76)+100</f>
        <v>100</v>
      </c>
      <c r="I9" s="2162" t="s">
        <v>3248</v>
      </c>
      <c r="J9" s="131">
        <f>SUMIF(75:75,I9,76:76)-SUMIF(75:75,C9,76:76)+100</f>
        <v>100</v>
      </c>
      <c r="K9" s="568"/>
      <c r="L9" s="2942"/>
      <c r="M9" s="2943"/>
      <c r="N9" s="2943"/>
      <c r="O9" s="2997"/>
      <c r="P9" s="3299" t="s">
        <v>2376</v>
      </c>
      <c r="Q9" s="1526" t="str">
        <f t="shared" ref="Q9:Q15" si="6">B9</f>
        <v>用途</v>
      </c>
      <c r="R9" s="710" t="s">
        <v>17</v>
      </c>
      <c r="S9" s="711">
        <f t="shared" si="0"/>
        <v>110</v>
      </c>
      <c r="T9" s="710" t="s">
        <v>17</v>
      </c>
      <c r="U9" s="711">
        <f t="shared" si="1"/>
        <v>100</v>
      </c>
      <c r="V9" s="710" t="s">
        <v>17</v>
      </c>
      <c r="W9" s="711">
        <f t="shared" si="2"/>
        <v>100</v>
      </c>
      <c r="X9" s="712"/>
      <c r="Y9" s="3193" t="s">
        <v>2377</v>
      </c>
      <c r="Z9" s="55" t="str">
        <f t="shared" ref="Z9:Z15" si="7">Q9</f>
        <v>用途</v>
      </c>
      <c r="AA9" s="713">
        <f t="shared" si="3"/>
        <v>0.90909090909090906</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44"/>
      <c r="M10" s="2945"/>
      <c r="N10" s="2945"/>
      <c r="O10" s="2998"/>
      <c r="P10" s="3299"/>
      <c r="Q10" s="1526" t="str">
        <f t="shared" si="6"/>
        <v>土地使用年限（年）</v>
      </c>
      <c r="R10" s="710" t="s">
        <v>17</v>
      </c>
      <c r="S10" s="711">
        <f t="shared" si="0"/>
        <v>113</v>
      </c>
      <c r="T10" s="710" t="s">
        <v>17</v>
      </c>
      <c r="U10" s="711">
        <f t="shared" si="1"/>
        <v>113</v>
      </c>
      <c r="V10" s="710" t="s">
        <v>17</v>
      </c>
      <c r="W10" s="711">
        <f t="shared" si="2"/>
        <v>113</v>
      </c>
      <c r="X10" s="712"/>
      <c r="Y10" s="3193"/>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v>5.16</v>
      </c>
      <c r="D11" s="132">
        <v>100</v>
      </c>
      <c r="E11" s="388">
        <f>土地案例!F23</f>
        <v>3</v>
      </c>
      <c r="F11" s="132">
        <f>LOOKUP(E11,80:80,81:81)-LOOKUP(C11,80:80,81:81)+100</f>
        <v>106</v>
      </c>
      <c r="G11" s="389">
        <f>土地案例!F24</f>
        <v>1.5</v>
      </c>
      <c r="H11" s="132">
        <f>LOOKUP(G11,80:80,81:81)-LOOKUP(C11,80:80,81:81)+100</f>
        <v>112</v>
      </c>
      <c r="I11" s="388">
        <f>土地案例!F25</f>
        <v>2.1</v>
      </c>
      <c r="J11" s="132">
        <f>LOOKUP(I11,80:80,81:81)-LOOKUP(C11,80:80,81:81)+100</f>
        <v>109</v>
      </c>
      <c r="K11" s="629">
        <v>3</v>
      </c>
      <c r="L11" s="2946"/>
      <c r="M11" s="2941"/>
      <c r="N11" s="2941"/>
      <c r="O11" s="2999"/>
      <c r="P11" s="3299"/>
      <c r="Q11" s="1526" t="str">
        <f t="shared" si="6"/>
        <v>容积率</v>
      </c>
      <c r="R11" s="710" t="s">
        <v>17</v>
      </c>
      <c r="S11" s="711">
        <f t="shared" si="0"/>
        <v>106</v>
      </c>
      <c r="T11" s="710" t="s">
        <v>17</v>
      </c>
      <c r="U11" s="711">
        <f t="shared" si="1"/>
        <v>112</v>
      </c>
      <c r="V11" s="710" t="s">
        <v>17</v>
      </c>
      <c r="W11" s="711">
        <f t="shared" si="2"/>
        <v>109</v>
      </c>
      <c r="X11" s="712"/>
      <c r="Y11" s="3193"/>
      <c r="Z11" s="55" t="str">
        <f t="shared" si="7"/>
        <v>容积率</v>
      </c>
      <c r="AA11" s="713">
        <f t="shared" si="3"/>
        <v>0.94339622641509435</v>
      </c>
      <c r="AB11" s="713">
        <f t="shared" si="4"/>
        <v>0.8928571428571429</v>
      </c>
      <c r="AC11" s="713">
        <f t="shared" si="5"/>
        <v>0.91743119266055051</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299"/>
      <c r="Q12" s="1526" t="str">
        <f t="shared" si="6"/>
        <v>配建</v>
      </c>
      <c r="R12" s="710" t="s">
        <v>17</v>
      </c>
      <c r="S12" s="711">
        <f t="shared" si="0"/>
        <v>100</v>
      </c>
      <c r="T12" s="710" t="s">
        <v>17</v>
      </c>
      <c r="U12" s="711">
        <f t="shared" si="1"/>
        <v>100</v>
      </c>
      <c r="V12" s="710" t="s">
        <v>17</v>
      </c>
      <c r="W12" s="711">
        <f t="shared" si="2"/>
        <v>100</v>
      </c>
      <c r="X12" s="712"/>
      <c r="Y12" s="3193"/>
      <c r="Z12" s="55" t="str">
        <f t="shared" si="7"/>
        <v>配建</v>
      </c>
      <c r="AA12" s="713">
        <f>D12/F12</f>
        <v>1</v>
      </c>
      <c r="AB12" s="713">
        <f>D12/H12</f>
        <v>1</v>
      </c>
      <c r="AC12" s="713">
        <f>D12/J12</f>
        <v>1</v>
      </c>
    </row>
    <row r="13" spans="1:30" ht="15">
      <c r="A13" s="387"/>
      <c r="B13" s="3080" t="s">
        <v>3251</v>
      </c>
      <c r="C13" s="3071" t="s">
        <v>3268</v>
      </c>
      <c r="D13" s="394">
        <v>100</v>
      </c>
      <c r="E13" s="3072" t="s">
        <v>3269</v>
      </c>
      <c r="F13" s="132">
        <f>SUMIF(84:84,E13,85:85)-SUMIF(84:84,C13,85:85)+100</f>
        <v>105</v>
      </c>
      <c r="G13" s="3073" t="s">
        <v>3268</v>
      </c>
      <c r="H13" s="394">
        <f>SUMIF(84:84,G13,85:85)-SUMIF(84:84,C13,85:85)+100</f>
        <v>100</v>
      </c>
      <c r="I13" s="3073" t="s">
        <v>3268</v>
      </c>
      <c r="J13" s="394">
        <f>SUMIF(84:84,I13,85:85)-SUMIF(84:84,C13,85:85)+100</f>
        <v>100</v>
      </c>
      <c r="K13" s="628"/>
      <c r="L13" s="2947"/>
      <c r="M13" s="2941"/>
      <c r="N13" s="2941"/>
      <c r="O13" s="2999"/>
      <c r="P13" s="3299"/>
      <c r="Q13" s="1526" t="str">
        <f t="shared" si="6"/>
        <v>自持</v>
      </c>
      <c r="R13" s="710" t="s">
        <v>17</v>
      </c>
      <c r="S13" s="711">
        <f t="shared" si="0"/>
        <v>105</v>
      </c>
      <c r="T13" s="710" t="s">
        <v>17</v>
      </c>
      <c r="U13" s="711">
        <f t="shared" si="1"/>
        <v>100</v>
      </c>
      <c r="V13" s="710" t="s">
        <v>17</v>
      </c>
      <c r="W13" s="711">
        <f t="shared" si="2"/>
        <v>100</v>
      </c>
      <c r="X13" s="712"/>
      <c r="Y13" s="3193"/>
      <c r="Z13" s="55" t="str">
        <f t="shared" si="7"/>
        <v>自持</v>
      </c>
      <c r="AA13" s="713">
        <f>D13/F13</f>
        <v>0.95238095238095233</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299"/>
      <c r="Q14" s="1526">
        <f t="shared" si="6"/>
        <v>111</v>
      </c>
      <c r="R14" s="710" t="s">
        <v>17</v>
      </c>
      <c r="S14" s="711">
        <f t="shared" si="0"/>
        <v>100</v>
      </c>
      <c r="T14" s="710" t="s">
        <v>17</v>
      </c>
      <c r="U14" s="711">
        <f t="shared" si="1"/>
        <v>100</v>
      </c>
      <c r="V14" s="710" t="s">
        <v>17</v>
      </c>
      <c r="W14" s="711">
        <f t="shared" si="2"/>
        <v>100</v>
      </c>
      <c r="X14" s="712"/>
      <c r="Y14" s="3193"/>
      <c r="Z14" s="55">
        <f t="shared" si="7"/>
        <v>111</v>
      </c>
      <c r="AA14" s="713">
        <f>D14/F14</f>
        <v>1</v>
      </c>
      <c r="AB14" s="713">
        <f>D14/H14</f>
        <v>1</v>
      </c>
      <c r="AC14" s="713">
        <f>D14/J14</f>
        <v>1</v>
      </c>
    </row>
    <row r="15" spans="1:30" ht="15" hidden="1">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01" t="s">
        <v>2381</v>
      </c>
      <c r="Q15" s="1535" t="str">
        <f t="shared" si="6"/>
        <v>居住社区成熟度</v>
      </c>
      <c r="R15" s="714" t="s">
        <v>17</v>
      </c>
      <c r="S15" s="715">
        <f t="shared" si="0"/>
        <v>100</v>
      </c>
      <c r="T15" s="714" t="s">
        <v>17</v>
      </c>
      <c r="U15" s="715">
        <f t="shared" si="1"/>
        <v>100</v>
      </c>
      <c r="V15" s="714" t="s">
        <v>17</v>
      </c>
      <c r="W15" s="715">
        <f t="shared" si="2"/>
        <v>100</v>
      </c>
      <c r="X15" s="1538"/>
      <c r="Y15" s="3301" t="s">
        <v>2381</v>
      </c>
      <c r="Z15" s="1539" t="str">
        <f t="shared" si="7"/>
        <v>居住社区成熟度</v>
      </c>
      <c r="AA15" s="1536">
        <f t="shared" si="3"/>
        <v>1</v>
      </c>
      <c r="AB15" s="1536">
        <f t="shared" si="4"/>
        <v>1</v>
      </c>
      <c r="AC15" s="1536">
        <f t="shared" si="5"/>
        <v>1</v>
      </c>
    </row>
    <row r="16" spans="1:30" ht="15" hidden="1">
      <c r="A16" s="387"/>
      <c r="B16" s="405"/>
      <c r="C16" s="406"/>
      <c r="D16" s="407"/>
      <c r="E16" s="2083"/>
      <c r="F16" s="407"/>
      <c r="G16" s="2083"/>
      <c r="H16" s="409"/>
      <c r="I16" s="2082"/>
      <c r="J16" s="407"/>
      <c r="K16" s="628"/>
      <c r="L16" s="2947"/>
      <c r="M16" s="2941"/>
      <c r="N16" s="2941"/>
      <c r="O16" s="2999"/>
      <c r="P16" s="3302"/>
      <c r="Q16" s="1535"/>
      <c r="R16" s="714"/>
      <c r="S16" s="715"/>
      <c r="T16" s="714"/>
      <c r="U16" s="715"/>
      <c r="V16" s="714"/>
      <c r="W16" s="715"/>
      <c r="X16" s="1538"/>
      <c r="Y16" s="3302"/>
      <c r="Z16" s="1539"/>
      <c r="AA16" s="1536">
        <v>1</v>
      </c>
      <c r="AB16" s="1536">
        <v>1</v>
      </c>
      <c r="AC16" s="1536">
        <v>1</v>
      </c>
    </row>
    <row r="17" spans="1:29" ht="15" hidden="1">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02"/>
      <c r="Q17" s="1535" t="str">
        <f>B17</f>
        <v>商业繁华度</v>
      </c>
      <c r="R17" s="714" t="s">
        <v>17</v>
      </c>
      <c r="S17" s="715">
        <f>F17</f>
        <v>100</v>
      </c>
      <c r="T17" s="714" t="s">
        <v>17</v>
      </c>
      <c r="U17" s="715">
        <f>H17</f>
        <v>100</v>
      </c>
      <c r="V17" s="714" t="s">
        <v>17</v>
      </c>
      <c r="W17" s="715">
        <f>J17</f>
        <v>100</v>
      </c>
      <c r="X17" s="1538"/>
      <c r="Y17" s="3302"/>
      <c r="Z17" s="1539" t="str">
        <f>Q17</f>
        <v>商业繁华度</v>
      </c>
      <c r="AA17" s="1536">
        <f t="shared" si="3"/>
        <v>1</v>
      </c>
      <c r="AB17" s="1536">
        <f t="shared" si="4"/>
        <v>1</v>
      </c>
      <c r="AC17" s="1536">
        <f t="shared" si="5"/>
        <v>1</v>
      </c>
    </row>
    <row r="18" spans="1:29" ht="15" hidden="1">
      <c r="A18" s="387"/>
      <c r="B18" s="415"/>
      <c r="C18" s="2086"/>
      <c r="D18" s="409"/>
      <c r="E18" s="2088"/>
      <c r="F18" s="409"/>
      <c r="G18" s="2088"/>
      <c r="H18" s="407"/>
      <c r="I18" s="2087"/>
      <c r="J18" s="407"/>
      <c r="K18" s="628"/>
      <c r="L18" s="2947"/>
      <c r="M18" s="2941"/>
      <c r="N18" s="2941"/>
      <c r="O18" s="2999"/>
      <c r="P18" s="3302"/>
      <c r="Q18" s="1535"/>
      <c r="R18" s="714"/>
      <c r="S18" s="715"/>
      <c r="T18" s="714"/>
      <c r="U18" s="715"/>
      <c r="V18" s="714"/>
      <c r="W18" s="715"/>
      <c r="X18" s="1538"/>
      <c r="Y18" s="3302"/>
      <c r="Z18" s="1539"/>
      <c r="AA18" s="1536">
        <v>1</v>
      </c>
      <c r="AB18" s="1536">
        <v>1</v>
      </c>
      <c r="AC18" s="1536">
        <v>1</v>
      </c>
    </row>
    <row r="19" spans="1:29" ht="15">
      <c r="A19" s="387"/>
      <c r="B19" s="410" t="s">
        <v>2508</v>
      </c>
      <c r="C19" s="2140" t="str">
        <f>估价对象房地状况!C17</f>
        <v>一般</v>
      </c>
      <c r="D19" s="414">
        <v>100</v>
      </c>
      <c r="E19" s="416"/>
      <c r="F19" s="414">
        <f>SUMIF(92:92,E20,93:93)-SUMIF(92:92,C20,93:93)+100</f>
        <v>100</v>
      </c>
      <c r="G19" s="416"/>
      <c r="H19" s="409">
        <f>SUMIF(92:92,G20,93:93)-SUMIF(92:92,C20,93:93)+100</f>
        <v>102</v>
      </c>
      <c r="I19" s="418"/>
      <c r="J19" s="409">
        <f>SUMIF(92:92,I20,93:93)-SUMIF(92:92,C20,93:93)+100</f>
        <v>102</v>
      </c>
      <c r="K19" s="629">
        <v>2</v>
      </c>
      <c r="L19" s="2947"/>
      <c r="M19" s="2941"/>
      <c r="N19" s="2941"/>
      <c r="O19" s="2999"/>
      <c r="P19" s="3302"/>
      <c r="Q19" s="1535" t="str">
        <f>B19</f>
        <v>办公集聚程度</v>
      </c>
      <c r="R19" s="714" t="s">
        <v>17</v>
      </c>
      <c r="S19" s="715">
        <f>F19</f>
        <v>100</v>
      </c>
      <c r="T19" s="714" t="s">
        <v>17</v>
      </c>
      <c r="U19" s="715">
        <f>H19</f>
        <v>102</v>
      </c>
      <c r="V19" s="714" t="s">
        <v>17</v>
      </c>
      <c r="W19" s="715">
        <f>J19</f>
        <v>102</v>
      </c>
      <c r="X19" s="1538"/>
      <c r="Y19" s="3302"/>
      <c r="Z19" s="1539" t="str">
        <f>Q19</f>
        <v>办公集聚程度</v>
      </c>
      <c r="AA19" s="1536">
        <f t="shared" si="3"/>
        <v>1</v>
      </c>
      <c r="AB19" s="1536">
        <f t="shared" si="4"/>
        <v>0.98039215686274506</v>
      </c>
      <c r="AC19" s="1536">
        <f t="shared" si="5"/>
        <v>0.98039215686274506</v>
      </c>
    </row>
    <row r="20" spans="1:29" ht="15">
      <c r="A20" s="387"/>
      <c r="B20" s="415"/>
      <c r="C20" s="406" t="s">
        <v>3113</v>
      </c>
      <c r="D20" s="407"/>
      <c r="E20" s="2083" t="s">
        <v>3113</v>
      </c>
      <c r="F20" s="407"/>
      <c r="G20" s="2083" t="s">
        <v>3114</v>
      </c>
      <c r="H20" s="407"/>
      <c r="I20" s="2082" t="s">
        <v>3114</v>
      </c>
      <c r="J20" s="407"/>
      <c r="K20" s="628"/>
      <c r="L20" s="2947"/>
      <c r="M20" s="2941"/>
      <c r="N20" s="2941"/>
      <c r="O20" s="2999"/>
      <c r="P20" s="3302"/>
      <c r="Q20" s="1535"/>
      <c r="R20" s="714"/>
      <c r="S20" s="715"/>
      <c r="T20" s="714"/>
      <c r="U20" s="715"/>
      <c r="V20" s="714"/>
      <c r="W20" s="715"/>
      <c r="X20" s="1538"/>
      <c r="Y20" s="3302"/>
      <c r="Z20" s="1539"/>
      <c r="AA20" s="1536">
        <v>1</v>
      </c>
      <c r="AB20" s="1536">
        <v>1</v>
      </c>
      <c r="AC20" s="1536">
        <v>1</v>
      </c>
    </row>
    <row r="21" spans="1:29" ht="15">
      <c r="A21" s="387"/>
      <c r="B21" s="410" t="s">
        <v>2530</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v>2</v>
      </c>
      <c r="L21" s="2947"/>
      <c r="M21" s="2941"/>
      <c r="N21" s="2941"/>
      <c r="O21" s="2999"/>
      <c r="P21" s="3302"/>
      <c r="Q21" s="1535" t="str">
        <f>B21</f>
        <v>交通便捷度</v>
      </c>
      <c r="R21" s="714" t="s">
        <v>17</v>
      </c>
      <c r="S21" s="715">
        <f>F21</f>
        <v>100</v>
      </c>
      <c r="T21" s="714" t="s">
        <v>17</v>
      </c>
      <c r="U21" s="715">
        <f>H21</f>
        <v>100</v>
      </c>
      <c r="V21" s="714" t="s">
        <v>17</v>
      </c>
      <c r="W21" s="715">
        <f>J21</f>
        <v>100</v>
      </c>
      <c r="X21" s="1538"/>
      <c r="Y21" s="3302"/>
      <c r="Z21" s="1539" t="str">
        <f>Q21</f>
        <v>交通便捷度</v>
      </c>
      <c r="AA21" s="1536">
        <f t="shared" si="3"/>
        <v>1</v>
      </c>
      <c r="AB21" s="1536">
        <f t="shared" si="4"/>
        <v>1</v>
      </c>
      <c r="AC21" s="1536">
        <f t="shared" si="5"/>
        <v>1</v>
      </c>
    </row>
    <row r="22" spans="1:29" ht="15">
      <c r="A22" s="387"/>
      <c r="B22" s="1293"/>
      <c r="C22" s="406" t="s">
        <v>3114</v>
      </c>
      <c r="D22" s="409"/>
      <c r="E22" s="2083" t="s">
        <v>3114</v>
      </c>
      <c r="F22" s="407"/>
      <c r="G22" s="2083" t="s">
        <v>3114</v>
      </c>
      <c r="H22" s="407"/>
      <c r="I22" s="2082" t="s">
        <v>3114</v>
      </c>
      <c r="J22" s="407"/>
      <c r="K22" s="628"/>
      <c r="L22" s="2947"/>
      <c r="M22" s="2941"/>
      <c r="N22" s="2941"/>
      <c r="O22" s="2999"/>
      <c r="P22" s="3302"/>
      <c r="Q22" s="1535"/>
      <c r="R22" s="714"/>
      <c r="S22" s="715"/>
      <c r="T22" s="714"/>
      <c r="U22" s="715"/>
      <c r="V22" s="714"/>
      <c r="W22" s="715"/>
      <c r="X22" s="1538"/>
      <c r="Y22" s="3302"/>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7"/>
      <c r="M23" s="2941"/>
      <c r="N23" s="2941"/>
      <c r="O23" s="2999"/>
      <c r="P23" s="3302"/>
      <c r="Q23" s="1535" t="str">
        <f t="shared" ref="Q23:Q37" si="8">B23</f>
        <v>区域土地利用方向</v>
      </c>
      <c r="R23" s="714" t="s">
        <v>17</v>
      </c>
      <c r="S23" s="715">
        <f>F23</f>
        <v>100</v>
      </c>
      <c r="T23" s="714" t="s">
        <v>17</v>
      </c>
      <c r="U23" s="715">
        <f>H23</f>
        <v>100</v>
      </c>
      <c r="V23" s="714" t="s">
        <v>17</v>
      </c>
      <c r="W23" s="715">
        <f>J23</f>
        <v>100</v>
      </c>
      <c r="X23" s="1538"/>
      <c r="Y23" s="3302"/>
      <c r="Z23" s="1539" t="str">
        <f>Q23</f>
        <v>区域土地利用方向</v>
      </c>
      <c r="AA23" s="1536">
        <f t="shared" si="3"/>
        <v>1</v>
      </c>
      <c r="AB23" s="1536">
        <f t="shared" si="4"/>
        <v>1</v>
      </c>
      <c r="AC23" s="1536">
        <f t="shared" si="5"/>
        <v>1</v>
      </c>
    </row>
    <row r="24" spans="1:29" ht="15">
      <c r="A24" s="364"/>
      <c r="B24" s="415"/>
      <c r="C24" s="573" t="s">
        <v>3114</v>
      </c>
      <c r="D24" s="407"/>
      <c r="E24" s="2083" t="s">
        <v>3114</v>
      </c>
      <c r="F24" s="407"/>
      <c r="G24" s="2082" t="s">
        <v>3114</v>
      </c>
      <c r="H24" s="407"/>
      <c r="I24" s="2082" t="s">
        <v>3114</v>
      </c>
      <c r="J24" s="407"/>
      <c r="K24" s="751"/>
      <c r="L24" s="2947"/>
      <c r="M24" s="2941"/>
      <c r="N24" s="2941"/>
      <c r="O24" s="2999"/>
      <c r="P24" s="3302"/>
      <c r="Q24" s="1535"/>
      <c r="R24" s="714"/>
      <c r="S24" s="715"/>
      <c r="T24" s="714"/>
      <c r="U24" s="715"/>
      <c r="V24" s="714"/>
      <c r="W24" s="715"/>
      <c r="X24" s="1538"/>
      <c r="Y24" s="3302"/>
      <c r="Z24" s="1539"/>
      <c r="AA24" s="1536"/>
      <c r="AB24" s="1536"/>
      <c r="AC24" s="1536"/>
    </row>
    <row r="25" spans="1:29" ht="27">
      <c r="A25" s="364"/>
      <c r="B25" s="1293" t="s">
        <v>2570</v>
      </c>
      <c r="C25" s="2140" t="str">
        <f>估价对象房地状况!C20</f>
        <v>一般</v>
      </c>
      <c r="D25" s="409">
        <v>100</v>
      </c>
      <c r="E25" s="411"/>
      <c r="F25" s="409">
        <f>SUMIF(98:98,E26,99:99)-SUMIF(98:98,C26,99:99)+100</f>
        <v>100</v>
      </c>
      <c r="G25" s="411"/>
      <c r="H25" s="409">
        <f>SUMIF(98:98,G26,99:99)-SUMIF(98:98,C26,99:99)+100</f>
        <v>102</v>
      </c>
      <c r="I25" s="413"/>
      <c r="J25" s="409">
        <f>SUMIF(98:98,I26,99:99)-SUMIF(98:98,C26,99:99)+100</f>
        <v>102</v>
      </c>
      <c r="K25" s="629">
        <v>2</v>
      </c>
      <c r="L25" s="2947"/>
      <c r="M25" s="2941"/>
      <c r="N25" s="2941"/>
      <c r="O25" s="2999"/>
      <c r="P25" s="3302"/>
      <c r="Q25" s="1535" t="str">
        <f t="shared" si="8"/>
        <v>自然及人文环境状况</v>
      </c>
      <c r="R25" s="714" t="s">
        <v>17</v>
      </c>
      <c r="S25" s="715">
        <f>F25</f>
        <v>100</v>
      </c>
      <c r="T25" s="714" t="s">
        <v>17</v>
      </c>
      <c r="U25" s="715">
        <f>H25</f>
        <v>102</v>
      </c>
      <c r="V25" s="714" t="s">
        <v>17</v>
      </c>
      <c r="W25" s="715">
        <f>J25</f>
        <v>102</v>
      </c>
      <c r="X25" s="1538"/>
      <c r="Y25" s="3302"/>
      <c r="Z25" s="1539" t="str">
        <f>Q25</f>
        <v>自然及人文环境状况</v>
      </c>
      <c r="AA25" s="1536">
        <f t="shared" si="3"/>
        <v>1</v>
      </c>
      <c r="AB25" s="1536">
        <f t="shared" si="4"/>
        <v>0.98039215686274506</v>
      </c>
      <c r="AC25" s="1536">
        <f t="shared" si="5"/>
        <v>0.98039215686274506</v>
      </c>
    </row>
    <row r="26" spans="1:29" ht="15">
      <c r="A26" s="364"/>
      <c r="B26" s="415"/>
      <c r="C26" s="406" t="s">
        <v>3113</v>
      </c>
      <c r="D26" s="407"/>
      <c r="E26" s="2089" t="s">
        <v>3113</v>
      </c>
      <c r="F26" s="407"/>
      <c r="G26" s="2089" t="s">
        <v>3114</v>
      </c>
      <c r="H26" s="407"/>
      <c r="I26" s="406" t="s">
        <v>3114</v>
      </c>
      <c r="J26" s="407"/>
      <c r="K26" s="628"/>
      <c r="L26" s="2947"/>
      <c r="M26" s="2941"/>
      <c r="N26" s="2941"/>
      <c r="O26" s="2999"/>
      <c r="P26" s="3302"/>
      <c r="Q26" s="1535"/>
      <c r="R26" s="714"/>
      <c r="S26" s="715"/>
      <c r="T26" s="714"/>
      <c r="U26" s="715"/>
      <c r="V26" s="714"/>
      <c r="W26" s="715"/>
      <c r="X26" s="1538"/>
      <c r="Y26" s="3302"/>
      <c r="Z26" s="1539"/>
      <c r="AA26" s="1536">
        <v>1</v>
      </c>
      <c r="AB26" s="1536">
        <v>1</v>
      </c>
      <c r="AC26" s="1536">
        <v>1</v>
      </c>
    </row>
    <row r="27" spans="1:29" s="113" customFormat="1" ht="15">
      <c r="A27" s="605"/>
      <c r="B27" s="1293" t="s">
        <v>2475</v>
      </c>
      <c r="C27" s="2085" t="str">
        <f>估价对象房地状况!C21</f>
        <v>较好</v>
      </c>
      <c r="D27" s="409">
        <v>100</v>
      </c>
      <c r="E27" s="411"/>
      <c r="F27" s="409">
        <f>SUMIF(100:100,E28,101:101)-SUMIF(100:100,C28,101:101)+100</f>
        <v>98</v>
      </c>
      <c r="G27" s="411"/>
      <c r="H27" s="409">
        <f>SUMIF(100:100,G28,101:101)-SUMIF(100:100,C28,101:101)+100</f>
        <v>100</v>
      </c>
      <c r="I27" s="413"/>
      <c r="J27" s="409">
        <f>SUMIF(100:100,I28,101:101)-SUMIF(100:100,C28,101:101)+100</f>
        <v>100</v>
      </c>
      <c r="K27" s="629">
        <v>2</v>
      </c>
      <c r="L27" s="2942"/>
      <c r="M27" s="2943"/>
      <c r="N27" s="2943"/>
      <c r="O27" s="2997"/>
      <c r="P27" s="3302"/>
      <c r="Q27" s="1526" t="str">
        <f t="shared" si="8"/>
        <v>公共配套设施</v>
      </c>
      <c r="R27" s="710" t="s">
        <v>17</v>
      </c>
      <c r="S27" s="711">
        <f>F27</f>
        <v>98</v>
      </c>
      <c r="T27" s="710" t="s">
        <v>17</v>
      </c>
      <c r="U27" s="711">
        <f>H27</f>
        <v>100</v>
      </c>
      <c r="V27" s="710" t="s">
        <v>17</v>
      </c>
      <c r="W27" s="711">
        <f>J27</f>
        <v>100</v>
      </c>
      <c r="X27" s="712"/>
      <c r="Y27" s="3302"/>
      <c r="Z27" s="55" t="str">
        <f>Q27</f>
        <v>公共配套设施</v>
      </c>
      <c r="AA27" s="1536">
        <f>D27/F27</f>
        <v>1.0204081632653061</v>
      </c>
      <c r="AB27" s="1536">
        <f>D27/H27</f>
        <v>1</v>
      </c>
      <c r="AC27" s="1536">
        <f>D27/J27</f>
        <v>1</v>
      </c>
    </row>
    <row r="28" spans="1:29" s="113" customFormat="1" ht="15">
      <c r="A28" s="605"/>
      <c r="B28" s="415"/>
      <c r="C28" s="2163" t="s">
        <v>3114</v>
      </c>
      <c r="D28" s="407"/>
      <c r="E28" s="2089" t="s">
        <v>3113</v>
      </c>
      <c r="F28" s="407"/>
      <c r="G28" s="2089" t="s">
        <v>3114</v>
      </c>
      <c r="H28" s="407"/>
      <c r="I28" s="406" t="s">
        <v>3114</v>
      </c>
      <c r="J28" s="407"/>
      <c r="K28" s="628"/>
      <c r="L28" s="2942"/>
      <c r="M28" s="2943"/>
      <c r="N28" s="2943"/>
      <c r="O28" s="2997"/>
      <c r="P28" s="3302"/>
      <c r="Q28" s="1526"/>
      <c r="R28" s="710"/>
      <c r="S28" s="711"/>
      <c r="T28" s="710"/>
      <c r="U28" s="711"/>
      <c r="V28" s="710"/>
      <c r="W28" s="711"/>
      <c r="X28" s="712"/>
      <c r="Y28" s="3302"/>
      <c r="Z28" s="55"/>
      <c r="AA28" s="1536">
        <v>1</v>
      </c>
      <c r="AB28" s="1536">
        <v>1</v>
      </c>
      <c r="AC28" s="1536">
        <v>1</v>
      </c>
    </row>
    <row r="29" spans="1:29" s="113" customFormat="1" ht="15">
      <c r="A29" s="605"/>
      <c r="B29" s="1293" t="s">
        <v>2476</v>
      </c>
      <c r="C29" s="2085"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2"/>
      <c r="M29" s="2943"/>
      <c r="N29" s="2943"/>
      <c r="O29" s="2997"/>
      <c r="P29" s="3302"/>
      <c r="Q29" s="1526" t="str">
        <f t="shared" ref="Q29" si="9">B29</f>
        <v>基础设施水平</v>
      </c>
      <c r="R29" s="710" t="s">
        <v>17</v>
      </c>
      <c r="S29" s="711">
        <f>F29</f>
        <v>100</v>
      </c>
      <c r="T29" s="710" t="s">
        <v>17</v>
      </c>
      <c r="U29" s="711">
        <f>H29</f>
        <v>100</v>
      </c>
      <c r="V29" s="710" t="s">
        <v>17</v>
      </c>
      <c r="W29" s="711">
        <f>J29</f>
        <v>100</v>
      </c>
      <c r="X29" s="712"/>
      <c r="Y29" s="3302"/>
      <c r="Z29" s="55" t="str">
        <f>Q29</f>
        <v>基础设施水平</v>
      </c>
      <c r="AA29" s="1536">
        <f>D29/F29</f>
        <v>1</v>
      </c>
      <c r="AB29" s="1536">
        <f>D29/H29</f>
        <v>1</v>
      </c>
      <c r="AC29" s="1536">
        <f>D29/J29</f>
        <v>1</v>
      </c>
    </row>
    <row r="30" spans="1:29" s="113" customFormat="1" ht="15">
      <c r="A30" s="605"/>
      <c r="B30" s="415"/>
      <c r="C30" s="2163" t="s">
        <v>3245</v>
      </c>
      <c r="D30" s="407"/>
      <c r="E30" s="2164" t="s">
        <v>3245</v>
      </c>
      <c r="F30" s="407"/>
      <c r="G30" s="2164" t="s">
        <v>3245</v>
      </c>
      <c r="H30" s="407"/>
      <c r="I30" s="2164" t="s">
        <v>3245</v>
      </c>
      <c r="J30" s="407"/>
      <c r="K30" s="628"/>
      <c r="L30" s="2942"/>
      <c r="M30" s="2943"/>
      <c r="N30" s="2943"/>
      <c r="O30" s="2997"/>
      <c r="P30" s="3302"/>
      <c r="Q30" s="1526"/>
      <c r="R30" s="710"/>
      <c r="S30" s="711"/>
      <c r="T30" s="710"/>
      <c r="U30" s="711"/>
      <c r="V30" s="710"/>
      <c r="W30" s="711"/>
      <c r="X30" s="712"/>
      <c r="Y30" s="3302"/>
      <c r="Z30" s="55"/>
      <c r="AA30" s="1536">
        <v>1</v>
      </c>
      <c r="AB30" s="1536">
        <v>1</v>
      </c>
      <c r="AC30" s="1536">
        <v>1</v>
      </c>
    </row>
    <row r="31" spans="1:29" ht="15">
      <c r="A31" s="387"/>
      <c r="B31" s="415" t="s">
        <v>2477</v>
      </c>
      <c r="C31" s="573" t="s">
        <v>3246</v>
      </c>
      <c r="D31" s="394">
        <v>100</v>
      </c>
      <c r="E31" s="590" t="s">
        <v>3246</v>
      </c>
      <c r="F31" s="394">
        <f>SUMIF(104:104,E31,105:105)-SUMIF(104:104,C31,105:105)+100</f>
        <v>100</v>
      </c>
      <c r="G31" s="590" t="s">
        <v>3246</v>
      </c>
      <c r="H31" s="394">
        <f>SUMIF(104:104,G31,105:105)-SUMIF(104:104,C31,105:105)+100</f>
        <v>100</v>
      </c>
      <c r="I31" s="590" t="s">
        <v>3246</v>
      </c>
      <c r="J31" s="394">
        <f>SUMIF(104:104,I31,105:105)-SUMIF(104:104,C31,105:105)+100</f>
        <v>100</v>
      </c>
      <c r="K31" s="629"/>
      <c r="L31" s="2947"/>
      <c r="M31" s="2941"/>
      <c r="N31" s="2941"/>
      <c r="O31" s="2999"/>
      <c r="P31" s="3302"/>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02"/>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102</v>
      </c>
      <c r="G32" s="411"/>
      <c r="H32" s="409">
        <f>SUMIF(106:106,G33,107:107)-SUMIF(106:106,C33,107:107)+100</f>
        <v>100</v>
      </c>
      <c r="I32" s="413"/>
      <c r="J32" s="409">
        <f>SUMIF(106:106,I33,107:107)-SUMIF(106:106,C33,107:107)+100</f>
        <v>100</v>
      </c>
      <c r="K32" s="629">
        <v>2</v>
      </c>
      <c r="L32" s="2947"/>
      <c r="M32" s="2941"/>
      <c r="N32" s="2941"/>
      <c r="O32" s="2999"/>
      <c r="P32" s="3302"/>
      <c r="Q32" s="1535" t="str">
        <f t="shared" si="8"/>
        <v>毗邻道路的类型与等级</v>
      </c>
      <c r="R32" s="714" t="s">
        <v>17</v>
      </c>
      <c r="S32" s="715">
        <f t="shared" si="10"/>
        <v>102</v>
      </c>
      <c r="T32" s="714" t="s">
        <v>17</v>
      </c>
      <c r="U32" s="715">
        <f t="shared" si="11"/>
        <v>100</v>
      </c>
      <c r="V32" s="714" t="s">
        <v>17</v>
      </c>
      <c r="W32" s="715">
        <f t="shared" si="12"/>
        <v>100</v>
      </c>
      <c r="X32" s="1538"/>
      <c r="Y32" s="3302"/>
      <c r="Z32" s="1539" t="str">
        <f t="shared" si="13"/>
        <v>毗邻道路的类型与等级</v>
      </c>
      <c r="AA32" s="1536">
        <f t="shared" si="3"/>
        <v>0.98039215686274506</v>
      </c>
      <c r="AB32" s="1536">
        <f t="shared" si="4"/>
        <v>1</v>
      </c>
      <c r="AC32" s="1536">
        <f t="shared" si="5"/>
        <v>1</v>
      </c>
    </row>
    <row r="33" spans="1:29" ht="15">
      <c r="A33" s="387"/>
      <c r="B33" s="415"/>
      <c r="C33" s="406" t="s">
        <v>3255</v>
      </c>
      <c r="D33" s="407"/>
      <c r="E33" s="2089" t="s">
        <v>3254</v>
      </c>
      <c r="F33" s="407"/>
      <c r="G33" s="2089" t="s">
        <v>3255</v>
      </c>
      <c r="H33" s="407"/>
      <c r="I33" s="406" t="s">
        <v>3255</v>
      </c>
      <c r="J33" s="407"/>
      <c r="K33" s="570"/>
      <c r="L33" s="2947"/>
      <c r="M33" s="2941"/>
      <c r="N33" s="2941"/>
      <c r="O33" s="2999"/>
      <c r="P33" s="3302"/>
      <c r="Q33" s="1535"/>
      <c r="R33" s="714"/>
      <c r="S33" s="715"/>
      <c r="T33" s="714"/>
      <c r="U33" s="715"/>
      <c r="V33" s="714"/>
      <c r="W33" s="715"/>
      <c r="X33" s="1538"/>
      <c r="Y33" s="3302"/>
      <c r="Z33" s="1539"/>
      <c r="AA33" s="1536">
        <v>1</v>
      </c>
      <c r="AB33" s="1536">
        <v>1</v>
      </c>
      <c r="AC33" s="1536">
        <v>1</v>
      </c>
    </row>
    <row r="34" spans="1:29" ht="15">
      <c r="A34" s="387"/>
      <c r="B34" s="381" t="s">
        <v>2571</v>
      </c>
      <c r="C34" s="573" t="s">
        <v>526</v>
      </c>
      <c r="D34" s="394">
        <v>100</v>
      </c>
      <c r="E34" s="590" t="s">
        <v>526</v>
      </c>
      <c r="F34" s="394">
        <f>SUMIF(108:108,E34,109:109)-SUMIF(108:108,C34,109:109)+100</f>
        <v>100</v>
      </c>
      <c r="G34" s="590" t="s">
        <v>56</v>
      </c>
      <c r="H34" s="394">
        <f>SUMIF(108:108,G34,109:109)-SUMIF(108:108,C34,109:109)+100</f>
        <v>101</v>
      </c>
      <c r="I34" s="573" t="s">
        <v>56</v>
      </c>
      <c r="J34" s="394">
        <f>SUMIF(108:108,I34,109:109)-SUMIF(108:108,C34,109:109)+100</f>
        <v>101</v>
      </c>
      <c r="K34" s="569">
        <v>1</v>
      </c>
      <c r="L34" s="2947"/>
      <c r="M34" s="2941"/>
      <c r="N34" s="2941"/>
      <c r="O34" s="2999"/>
      <c r="P34" s="3302"/>
      <c r="Q34" s="1535" t="str">
        <f t="shared" si="8"/>
        <v>土地级别</v>
      </c>
      <c r="R34" s="714" t="s">
        <v>17</v>
      </c>
      <c r="S34" s="715">
        <f t="shared" si="10"/>
        <v>100</v>
      </c>
      <c r="T34" s="714" t="s">
        <v>17</v>
      </c>
      <c r="U34" s="715">
        <f t="shared" si="11"/>
        <v>101</v>
      </c>
      <c r="V34" s="714" t="s">
        <v>17</v>
      </c>
      <c r="W34" s="715">
        <f t="shared" si="12"/>
        <v>101</v>
      </c>
      <c r="X34" s="1538"/>
      <c r="Y34" s="3302"/>
      <c r="Z34" s="1539" t="str">
        <f t="shared" si="13"/>
        <v>土地级别</v>
      </c>
      <c r="AA34" s="1536">
        <f t="shared" si="3"/>
        <v>1</v>
      </c>
      <c r="AB34" s="1536">
        <f t="shared" si="4"/>
        <v>0.99009900990099009</v>
      </c>
      <c r="AC34" s="1536">
        <f t="shared" si="5"/>
        <v>0.99009900990099009</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02"/>
      <c r="Q35" s="1535">
        <f t="shared" si="8"/>
        <v>111</v>
      </c>
      <c r="R35" s="714" t="s">
        <v>17</v>
      </c>
      <c r="S35" s="715">
        <f t="shared" si="10"/>
        <v>100</v>
      </c>
      <c r="T35" s="714" t="s">
        <v>17</v>
      </c>
      <c r="U35" s="715">
        <f t="shared" si="11"/>
        <v>100</v>
      </c>
      <c r="V35" s="714" t="s">
        <v>17</v>
      </c>
      <c r="W35" s="715">
        <f t="shared" si="12"/>
        <v>100</v>
      </c>
      <c r="X35" s="1538"/>
      <c r="Y35" s="3302"/>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03" t="s">
        <v>2386</v>
      </c>
      <c r="Q36" s="1535">
        <f t="shared" si="8"/>
        <v>111</v>
      </c>
      <c r="R36" s="714" t="s">
        <v>17</v>
      </c>
      <c r="S36" s="715">
        <f t="shared" si="10"/>
        <v>100</v>
      </c>
      <c r="T36" s="714" t="s">
        <v>17</v>
      </c>
      <c r="U36" s="715">
        <f t="shared" si="11"/>
        <v>100</v>
      </c>
      <c r="V36" s="714" t="s">
        <v>17</v>
      </c>
      <c r="W36" s="715">
        <f t="shared" si="12"/>
        <v>100</v>
      </c>
      <c r="X36" s="1538"/>
      <c r="Y36" s="3304"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04"/>
      <c r="Q37" s="1535">
        <f t="shared" si="8"/>
        <v>111</v>
      </c>
      <c r="R37" s="717" t="s">
        <v>17</v>
      </c>
      <c r="S37" s="718">
        <f t="shared" si="10"/>
        <v>100</v>
      </c>
      <c r="T37" s="717" t="s">
        <v>17</v>
      </c>
      <c r="U37" s="718">
        <f t="shared" si="11"/>
        <v>100</v>
      </c>
      <c r="V37" s="717" t="s">
        <v>17</v>
      </c>
      <c r="W37" s="718">
        <f t="shared" si="12"/>
        <v>100</v>
      </c>
      <c r="X37" s="719"/>
      <c r="Y37" s="3304"/>
      <c r="Z37" s="720">
        <f t="shared" si="13"/>
        <v>111</v>
      </c>
      <c r="AA37" s="1536">
        <f t="shared" si="3"/>
        <v>1</v>
      </c>
      <c r="AB37" s="1536">
        <f t="shared" si="4"/>
        <v>1</v>
      </c>
      <c r="AC37" s="1536">
        <f t="shared" si="5"/>
        <v>1</v>
      </c>
    </row>
    <row r="38" spans="1:29" ht="15">
      <c r="A38" s="431" t="s">
        <v>2384</v>
      </c>
      <c r="B38" s="415" t="s">
        <v>2572</v>
      </c>
      <c r="C38" s="635">
        <v>7731.92</v>
      </c>
      <c r="D38" s="426">
        <v>100</v>
      </c>
      <c r="E38" s="635">
        <f>土地案例!D23</f>
        <v>18015.060000000001</v>
      </c>
      <c r="F38" s="426">
        <f>LOOKUP(E38,117:117,118:118)-LOOKUP(C38,117:117,118:118)+100</f>
        <v>100</v>
      </c>
      <c r="G38" s="635">
        <f>土地案例!D24</f>
        <v>59747.77</v>
      </c>
      <c r="H38" s="426">
        <f>LOOKUP(G38,117:117,118:118)-LOOKUP(C38,117:117,118:118)+100</f>
        <v>104</v>
      </c>
      <c r="I38" s="487">
        <f>土地案例!D25</f>
        <v>31420.65</v>
      </c>
      <c r="J38" s="426">
        <f>LOOKUP(I38,117:117,118:118)-LOOKUP(C38,117:117,118:118)+100</f>
        <v>102</v>
      </c>
      <c r="K38" s="570"/>
      <c r="L38" s="2947"/>
      <c r="M38" s="2941"/>
      <c r="N38" s="2941"/>
      <c r="O38" s="2999"/>
      <c r="P38" s="3304"/>
      <c r="Q38" s="1535" t="str">
        <f>B38</f>
        <v>宗地面积</v>
      </c>
      <c r="R38" s="714" t="s">
        <v>17</v>
      </c>
      <c r="S38" s="715">
        <f t="shared" si="10"/>
        <v>100</v>
      </c>
      <c r="T38" s="714" t="s">
        <v>17</v>
      </c>
      <c r="U38" s="715">
        <f t="shared" si="11"/>
        <v>104</v>
      </c>
      <c r="V38" s="714" t="s">
        <v>17</v>
      </c>
      <c r="W38" s="715">
        <f t="shared" si="12"/>
        <v>102</v>
      </c>
      <c r="X38" s="1538"/>
      <c r="Y38" s="3304"/>
      <c r="Z38" s="1539" t="str">
        <f t="shared" si="13"/>
        <v>宗地面积</v>
      </c>
      <c r="AA38" s="1536">
        <f t="shared" si="3"/>
        <v>1</v>
      </c>
      <c r="AB38" s="1536">
        <f t="shared" si="4"/>
        <v>0.96153846153846156</v>
      </c>
      <c r="AC38" s="1536">
        <f t="shared" si="5"/>
        <v>0.98039215686274506</v>
      </c>
    </row>
    <row r="39" spans="1:29" ht="15">
      <c r="A39" s="431"/>
      <c r="B39" s="381" t="s">
        <v>2573</v>
      </c>
      <c r="C39" s="2091" t="s">
        <v>3257</v>
      </c>
      <c r="D39" s="394">
        <v>100</v>
      </c>
      <c r="E39" s="2091" t="s">
        <v>3258</v>
      </c>
      <c r="F39" s="394">
        <f>SUMIF(119:119,E39,120:120)-SUMIF(119:119,C39,120:120)+100</f>
        <v>98</v>
      </c>
      <c r="G39" s="2091" t="s">
        <v>3257</v>
      </c>
      <c r="H39" s="394">
        <f>SUMIF(119:119,G39,120:120)-SUMIF(119:119,C39,120:120)+100</f>
        <v>100</v>
      </c>
      <c r="I39" s="2091" t="s">
        <v>3257</v>
      </c>
      <c r="J39" s="394">
        <f>SUMIF(119:119,I39,120:120)-SUMIF(119:119,C39,120:120)+100</f>
        <v>100</v>
      </c>
      <c r="K39" s="569">
        <v>2</v>
      </c>
      <c r="L39" s="2947"/>
      <c r="M39" s="2941"/>
      <c r="N39" s="2941"/>
      <c r="O39" s="2999"/>
      <c r="P39" s="3304"/>
      <c r="Q39" s="1535" t="str">
        <f t="shared" ref="Q39:Q45" si="14">B39</f>
        <v>宗地形状</v>
      </c>
      <c r="R39" s="714" t="s">
        <v>17</v>
      </c>
      <c r="S39" s="715">
        <f t="shared" si="10"/>
        <v>98</v>
      </c>
      <c r="T39" s="714" t="s">
        <v>17</v>
      </c>
      <c r="U39" s="715">
        <f t="shared" si="11"/>
        <v>100</v>
      </c>
      <c r="V39" s="714" t="s">
        <v>17</v>
      </c>
      <c r="W39" s="715">
        <f t="shared" si="12"/>
        <v>100</v>
      </c>
      <c r="X39" s="1538"/>
      <c r="Y39" s="3304"/>
      <c r="Z39" s="1539" t="str">
        <f t="shared" si="13"/>
        <v>宗地形状</v>
      </c>
      <c r="AA39" s="1536">
        <f t="shared" si="3"/>
        <v>1.0204081632653061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7"/>
      <c r="M40" s="2941"/>
      <c r="N40" s="2941"/>
      <c r="O40" s="2999"/>
      <c r="P40" s="3304"/>
      <c r="Q40" s="1535" t="str">
        <f t="shared" si="14"/>
        <v>临街宽度及深度</v>
      </c>
      <c r="R40" s="714" t="s">
        <v>17</v>
      </c>
      <c r="S40" s="715">
        <f t="shared" si="10"/>
        <v>100</v>
      </c>
      <c r="T40" s="714" t="s">
        <v>17</v>
      </c>
      <c r="U40" s="715">
        <f t="shared" si="11"/>
        <v>100</v>
      </c>
      <c r="V40" s="714" t="s">
        <v>17</v>
      </c>
      <c r="W40" s="715">
        <f t="shared" si="12"/>
        <v>100</v>
      </c>
      <c r="X40" s="1538"/>
      <c r="Y40" s="3304"/>
      <c r="Z40" s="1539" t="str">
        <f t="shared" si="13"/>
        <v>临街宽度及深度</v>
      </c>
      <c r="AA40" s="1536">
        <f t="shared" si="3"/>
        <v>1</v>
      </c>
      <c r="AB40" s="1536">
        <f t="shared" si="4"/>
        <v>1</v>
      </c>
      <c r="AC40" s="1536">
        <f t="shared" si="5"/>
        <v>1</v>
      </c>
    </row>
    <row r="41" spans="1:29" s="113" customFormat="1" ht="15">
      <c r="A41" s="432"/>
      <c r="B41" s="381" t="s">
        <v>2575</v>
      </c>
      <c r="C41" s="2165" t="s">
        <v>3260</v>
      </c>
      <c r="D41" s="132">
        <v>100</v>
      </c>
      <c r="E41" s="2165" t="s">
        <v>3263</v>
      </c>
      <c r="F41" s="394">
        <f>SUMIF(123:123,E41,124:124)-SUMIF(123:123,C41,124:124)+100</f>
        <v>97</v>
      </c>
      <c r="G41" s="2165" t="s">
        <v>3260</v>
      </c>
      <c r="H41" s="394">
        <f>SUMIF(123:123,G41,124:124)-SUMIF(123:123,C41,124:124)+100</f>
        <v>100</v>
      </c>
      <c r="I41" s="2165" t="s">
        <v>3260</v>
      </c>
      <c r="J41" s="394">
        <f>SUMIF(123:123,I41,124:124)-SUMIF(123:123,C41,124:124)+100</f>
        <v>100</v>
      </c>
      <c r="K41" s="569">
        <v>1</v>
      </c>
      <c r="L41" s="2942"/>
      <c r="M41" s="2943"/>
      <c r="N41" s="2943"/>
      <c r="O41" s="2997"/>
      <c r="P41" s="3304"/>
      <c r="Q41" s="1535" t="str">
        <f t="shared" si="14"/>
        <v>宗地开发程度</v>
      </c>
      <c r="R41" s="710" t="s">
        <v>17</v>
      </c>
      <c r="S41" s="711">
        <f t="shared" si="10"/>
        <v>97</v>
      </c>
      <c r="T41" s="710" t="s">
        <v>17</v>
      </c>
      <c r="U41" s="711">
        <f t="shared" si="11"/>
        <v>100</v>
      </c>
      <c r="V41" s="710" t="s">
        <v>17</v>
      </c>
      <c r="W41" s="711">
        <f t="shared" si="12"/>
        <v>100</v>
      </c>
      <c r="X41" s="712"/>
      <c r="Y41" s="3304"/>
      <c r="Z41" s="55" t="str">
        <f t="shared" si="13"/>
        <v>宗地开发程度</v>
      </c>
      <c r="AA41" s="713">
        <f t="shared" si="3"/>
        <v>1.0309278350515463</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47"/>
      <c r="M42" s="2941"/>
      <c r="N42" s="2941"/>
      <c r="O42" s="2999"/>
      <c r="P42" s="3304" t="s">
        <v>2386</v>
      </c>
      <c r="Q42" s="1535" t="str">
        <f t="shared" si="14"/>
        <v>工程地质条件</v>
      </c>
      <c r="R42" s="714" t="s">
        <v>17</v>
      </c>
      <c r="S42" s="715">
        <f t="shared" si="10"/>
        <v>100</v>
      </c>
      <c r="T42" s="714" t="s">
        <v>17</v>
      </c>
      <c r="U42" s="715">
        <f t="shared" si="11"/>
        <v>100</v>
      </c>
      <c r="V42" s="714" t="s">
        <v>17</v>
      </c>
      <c r="W42" s="715">
        <f t="shared" si="12"/>
        <v>100</v>
      </c>
      <c r="X42" s="1538"/>
      <c r="Y42" s="3304"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04"/>
      <c r="Q43" s="1535">
        <f t="shared" si="14"/>
        <v>111</v>
      </c>
      <c r="R43" s="714" t="s">
        <v>17</v>
      </c>
      <c r="S43" s="715">
        <f t="shared" si="10"/>
        <v>100</v>
      </c>
      <c r="T43" s="714" t="s">
        <v>17</v>
      </c>
      <c r="U43" s="715">
        <f t="shared" si="11"/>
        <v>100</v>
      </c>
      <c r="V43" s="714" t="s">
        <v>17</v>
      </c>
      <c r="W43" s="715">
        <f t="shared" si="12"/>
        <v>100</v>
      </c>
      <c r="X43" s="1538"/>
      <c r="Y43" s="3304"/>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04"/>
      <c r="Q44" s="1535">
        <f t="shared" si="14"/>
        <v>111</v>
      </c>
      <c r="R44" s="714" t="s">
        <v>17</v>
      </c>
      <c r="S44" s="715">
        <f t="shared" si="10"/>
        <v>100</v>
      </c>
      <c r="T44" s="714" t="s">
        <v>17</v>
      </c>
      <c r="U44" s="715">
        <f t="shared" si="11"/>
        <v>100</v>
      </c>
      <c r="V44" s="714" t="s">
        <v>17</v>
      </c>
      <c r="W44" s="715">
        <f t="shared" si="12"/>
        <v>100</v>
      </c>
      <c r="X44" s="1538"/>
      <c r="Y44" s="3304"/>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04"/>
      <c r="Q45" s="1535">
        <f t="shared" si="14"/>
        <v>111</v>
      </c>
      <c r="R45" s="717" t="s">
        <v>17</v>
      </c>
      <c r="S45" s="718">
        <f t="shared" si="10"/>
        <v>100</v>
      </c>
      <c r="T45" s="717" t="s">
        <v>17</v>
      </c>
      <c r="U45" s="718">
        <f t="shared" si="11"/>
        <v>100</v>
      </c>
      <c r="V45" s="717" t="s">
        <v>17</v>
      </c>
      <c r="W45" s="718">
        <f t="shared" si="12"/>
        <v>100</v>
      </c>
      <c r="X45" s="719"/>
      <c r="Y45" s="3304"/>
      <c r="Z45" s="720">
        <f t="shared" si="13"/>
        <v>111</v>
      </c>
      <c r="AA45" s="1536">
        <f t="shared" si="3"/>
        <v>1</v>
      </c>
      <c r="AB45" s="1536">
        <f t="shared" si="4"/>
        <v>1</v>
      </c>
      <c r="AC45" s="1536">
        <f t="shared" si="5"/>
        <v>1</v>
      </c>
    </row>
    <row r="46" spans="1:29" ht="15">
      <c r="A46" s="438" t="s">
        <v>2541</v>
      </c>
      <c r="B46" s="2167" t="s">
        <v>2577</v>
      </c>
      <c r="C46" s="638" t="s">
        <v>1</v>
      </c>
      <c r="D46" s="440"/>
      <c r="E46" s="441">
        <f>土地案例!M23</f>
        <v>11102</v>
      </c>
      <c r="F46" s="442"/>
      <c r="G46" s="443">
        <f>土地案例!M24</f>
        <v>16380</v>
      </c>
      <c r="H46" s="444"/>
      <c r="I46" s="441">
        <f>土地案例!M25</f>
        <v>16383</v>
      </c>
      <c r="J46" s="444"/>
      <c r="K46" s="723"/>
      <c r="L46" s="2949"/>
      <c r="M46" s="2950"/>
      <c r="N46" s="2941"/>
      <c r="O46" s="2950"/>
      <c r="P46" s="3299" t="str">
        <f>A46</f>
        <v>成交单价</v>
      </c>
      <c r="Q46" s="3299"/>
      <c r="R46" s="3305">
        <f>E46</f>
        <v>11102</v>
      </c>
      <c r="S46" s="3305"/>
      <c r="T46" s="3305">
        <f>G46</f>
        <v>16380</v>
      </c>
      <c r="U46" s="3305"/>
      <c r="V46" s="3305">
        <f>I46</f>
        <v>16383</v>
      </c>
      <c r="W46" s="3305"/>
      <c r="X46" s="699"/>
      <c r="Y46" s="721"/>
      <c r="Z46" s="699"/>
      <c r="AA46" s="699"/>
      <c r="AB46" s="699"/>
      <c r="AC46" s="699"/>
    </row>
    <row r="47" spans="1:29" ht="15.75" thickBot="1">
      <c r="A47" s="445" t="s">
        <v>2490</v>
      </c>
      <c r="B47" s="639"/>
      <c r="C47" s="448">
        <f>R48</f>
        <v>11783</v>
      </c>
      <c r="D47" s="2537" t="s">
        <v>2879</v>
      </c>
      <c r="E47" s="448">
        <f>R47</f>
        <v>9130</v>
      </c>
      <c r="F47" s="2538">
        <v>0.6</v>
      </c>
      <c r="G47" s="447">
        <f>T47</f>
        <v>12803</v>
      </c>
      <c r="H47" s="2538">
        <v>0.2</v>
      </c>
      <c r="I47" s="448">
        <f>V47</f>
        <v>13416</v>
      </c>
      <c r="J47" s="2538">
        <v>0.2</v>
      </c>
      <c r="K47" s="2540">
        <f>F47+H47+J47</f>
        <v>1</v>
      </c>
      <c r="L47" s="2949"/>
      <c r="M47" s="2950"/>
      <c r="N47" s="2950"/>
      <c r="O47" s="2950"/>
      <c r="P47" s="3299" t="str">
        <f>A47</f>
        <v>比较价值（元/平方米）</v>
      </c>
      <c r="Q47" s="3299"/>
      <c r="R47" s="3292">
        <f>ROUND(PRODUCT(R46,AA7:AA45),0)</f>
        <v>9130</v>
      </c>
      <c r="S47" s="3292"/>
      <c r="T47" s="3292">
        <f>ROUND(PRODUCT(T46,AB7:AB45),0)</f>
        <v>12803</v>
      </c>
      <c r="U47" s="3292"/>
      <c r="V47" s="3292">
        <f>ROUND(PRODUCT(V46,AC7:AC45),0)</f>
        <v>13416</v>
      </c>
      <c r="W47" s="3292"/>
      <c r="X47" s="699"/>
      <c r="Y47" s="699"/>
      <c r="Z47" s="699"/>
      <c r="AA47" s="699"/>
      <c r="AB47" s="699"/>
      <c r="AC47" s="699"/>
    </row>
    <row r="48" spans="1:29" ht="15.75" thickBot="1">
      <c r="A48" s="449" t="s">
        <v>2578</v>
      </c>
      <c r="B48" s="450"/>
      <c r="C48" s="451">
        <f>R48</f>
        <v>11783</v>
      </c>
      <c r="D48" s="451"/>
      <c r="E48" s="451"/>
      <c r="F48" s="451"/>
      <c r="G48" s="451"/>
      <c r="H48" s="451"/>
      <c r="I48" s="451"/>
      <c r="J48" s="451"/>
      <c r="K48" s="724"/>
      <c r="L48" s="2949"/>
      <c r="M48" s="2950"/>
      <c r="N48" s="2950"/>
      <c r="O48" s="2950"/>
      <c r="P48" s="3293" t="str">
        <f>A48</f>
        <v>估价对象XX用房的比较价值（楼面单价，元/平方米）</v>
      </c>
      <c r="Q48" s="3294"/>
      <c r="R48" s="3295">
        <f>ROUND(IF(D47="简单平均",AVERAGE(R47:W47),R47*F47+T47*H47+V47*J47),0)</f>
        <v>11783</v>
      </c>
      <c r="S48" s="3295"/>
      <c r="T48" s="3295"/>
      <c r="U48" s="3295"/>
      <c r="V48" s="3295"/>
      <c r="W48" s="3295"/>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f>IF(E46&lt;E47,E47/E46-1,E46/E47-1)</f>
        <v>0.21599123767798467</v>
      </c>
      <c r="F51" s="457" t="str">
        <f>IF(OR(E51&gt;=0.3,E51&lt;=-0.3),"超过30%","")</f>
        <v/>
      </c>
      <c r="G51" s="456">
        <f>IF(G46&lt;G47,G47/G46-1,G46/G47-1)</f>
        <v>0.27938764352104983</v>
      </c>
      <c r="H51" s="457" t="str">
        <f>IF(OR(G51&gt;=0.3,G51&lt;=-0.3),"超过30%","")</f>
        <v/>
      </c>
      <c r="I51" s="456">
        <f>IF(I46&lt;I47,I47/I46-1,I46/I47-1)</f>
        <v>0.22115384615384626</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f>IF(E47&lt;G47,G47/E47-1,E47/G47-1)</f>
        <v>0.40230010952902528</v>
      </c>
      <c r="F52" s="457" t="str">
        <f>IF(OR(E52&gt;=0.2,E52&lt;=-0.2),"超过20%","")</f>
        <v>超过20%</v>
      </c>
      <c r="G52" s="456">
        <f>IF(G47&lt;I47,I47/G47-1,G47/I47-1)</f>
        <v>4.7879403264859732E-2</v>
      </c>
      <c r="H52" s="457" t="str">
        <f>IF(OR(G52&gt;=0.2,G52&lt;=-0.2),"超过20%","")</f>
        <v/>
      </c>
      <c r="I52" s="456">
        <f>IF(I47&lt;E47,E47/I47-1,I47/E47-1)</f>
        <v>0.46944140197152251</v>
      </c>
      <c r="J52" s="457" t="str">
        <f>IF(OR(I52&gt;=0.2,I52&lt;=-0.2),"超过20%","")</f>
        <v>超过20%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f>IF(E46&lt;G46,G46/E46-1,E46/G46-1)</f>
        <v>0.47540983606557385</v>
      </c>
      <c r="F53" s="457" t="str">
        <f>IF(OR(E53&gt;=0.3,E53&lt;=-0.3),"超过30%","")</f>
        <v>超过30%</v>
      </c>
      <c r="G53" s="456">
        <f>IF(G46&lt;I46,I46/G46-1,G46/I46-1)</f>
        <v>1.831501831501825E-4</v>
      </c>
      <c r="H53" s="457" t="str">
        <f>IF(OR(G53&gt;=0.3,G53&lt;=-0.3),"超过30%","")</f>
        <v/>
      </c>
      <c r="I53" s="456">
        <f>IF(I46&lt;E46,E46/I46-1,I46/E46-1)</f>
        <v>0.47568005764727084</v>
      </c>
      <c r="J53" s="457" t="str">
        <f>IF(OR(I53&gt;=0.3,I53&lt;=-0.3),"超过30%","")</f>
        <v>超过30%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2579</v>
      </c>
      <c r="B55" s="641" t="s">
        <v>2580</v>
      </c>
      <c r="C55" s="2168" t="s">
        <v>2581</v>
      </c>
      <c r="D55" s="2169" t="s">
        <v>2582</v>
      </c>
      <c r="E55" s="642" t="s">
        <v>2583</v>
      </c>
      <c r="F55" s="1021" t="s">
        <v>2584</v>
      </c>
      <c r="G55" s="3296" t="s">
        <v>2585</v>
      </c>
      <c r="H55" s="3297"/>
      <c r="I55" s="140" t="s">
        <v>2586</v>
      </c>
      <c r="J55" s="2170">
        <f>项目基本情况!F35</f>
        <v>0</v>
      </c>
      <c r="K55" s="2171" t="s">
        <v>2587</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2588</v>
      </c>
      <c r="B56" s="645">
        <f>C48</f>
        <v>11783</v>
      </c>
      <c r="C56" s="646">
        <v>1</v>
      </c>
      <c r="D56" s="1075">
        <v>1</v>
      </c>
      <c r="E56" s="646">
        <f>'数据-汇总表'!E8+'数据-汇总表'!E9</f>
        <v>32206.960000000006</v>
      </c>
      <c r="F56" s="1017">
        <f t="shared" ref="F56:F65" si="15">ROUND(B56*E56/10000,0)</f>
        <v>37949</v>
      </c>
      <c r="G56" s="3298"/>
      <c r="H56" s="3299"/>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2589</v>
      </c>
      <c r="B57" s="224">
        <f>ROUND($C$48*C57*D57,0)</f>
        <v>0</v>
      </c>
      <c r="C57" s="176">
        <f t="shared" ref="C57:C65" si="16">IF($C$55="北京市系数",I57,J57)</f>
        <v>0</v>
      </c>
      <c r="D57" s="1076">
        <v>0.25</v>
      </c>
      <c r="E57" s="650"/>
      <c r="F57" s="1017">
        <f t="shared" si="15"/>
        <v>0</v>
      </c>
      <c r="G57" s="3300" t="s">
        <v>2590</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2591</v>
      </c>
      <c r="B58" s="224">
        <f t="shared" ref="B58:B65" si="17">ROUND($C$48*C58*D58,0)</f>
        <v>0</v>
      </c>
      <c r="C58" s="176">
        <f t="shared" si="16"/>
        <v>0</v>
      </c>
      <c r="D58" s="1076">
        <v>0.25</v>
      </c>
      <c r="E58" s="650"/>
      <c r="F58" s="1017">
        <f t="shared" si="15"/>
        <v>0</v>
      </c>
      <c r="G58" s="3300"/>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2592</v>
      </c>
      <c r="B59" s="224">
        <f t="shared" si="17"/>
        <v>0</v>
      </c>
      <c r="C59" s="176">
        <f t="shared" si="16"/>
        <v>0</v>
      </c>
      <c r="D59" s="1076">
        <v>0.25</v>
      </c>
      <c r="E59" s="650"/>
      <c r="F59" s="1017">
        <f t="shared" si="15"/>
        <v>0</v>
      </c>
      <c r="G59" s="3300"/>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2593</v>
      </c>
      <c r="B60" s="224">
        <f t="shared" si="17"/>
        <v>0</v>
      </c>
      <c r="C60" s="176">
        <f t="shared" si="16"/>
        <v>0</v>
      </c>
      <c r="D60" s="1076">
        <v>0.25</v>
      </c>
      <c r="E60" s="650"/>
      <c r="F60" s="1017">
        <f t="shared" si="15"/>
        <v>0</v>
      </c>
      <c r="G60" s="3300"/>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2594</v>
      </c>
      <c r="B61" s="224">
        <f t="shared" si="17"/>
        <v>736</v>
      </c>
      <c r="C61" s="176">
        <f t="shared" si="16"/>
        <v>0.25</v>
      </c>
      <c r="D61" s="1076">
        <v>0.25</v>
      </c>
      <c r="E61" s="223">
        <f>'数据-汇总表'!E11</f>
        <v>0</v>
      </c>
      <c r="F61" s="1017">
        <f t="shared" si="15"/>
        <v>0</v>
      </c>
      <c r="G61" s="2172" t="s">
        <v>2595</v>
      </c>
      <c r="H61" s="1018" t="str">
        <f>项目基本情况!C37</f>
        <v>七级</v>
      </c>
      <c r="I61" s="1022">
        <f>SUMIF(修正!A45:A56,H61,修正!F45:F56)</f>
        <v>0.25</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2596</v>
      </c>
      <c r="B62" s="224">
        <f t="shared" si="17"/>
        <v>736</v>
      </c>
      <c r="C62" s="176">
        <f t="shared" si="16"/>
        <v>0.25</v>
      </c>
      <c r="D62" s="1076">
        <v>0.25</v>
      </c>
      <c r="E62" s="223">
        <f>'数据-汇总表'!E12</f>
        <v>0</v>
      </c>
      <c r="F62" s="1017">
        <f t="shared" si="15"/>
        <v>0</v>
      </c>
      <c r="G62" s="1023" t="s">
        <v>27</v>
      </c>
      <c r="H62" s="1018" t="str">
        <f>IF(G62="商业",项目基本情况!B37,IF(G62="办公",项目基本情况!C37,IF(G62="住宅",项目基本情况!D37,项目基本情况!E37)))</f>
        <v>七级</v>
      </c>
      <c r="I62" s="1022">
        <f>SUMIF(修正!A45:A56,H62,修正!G45:G56)</f>
        <v>0.25</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2600</v>
      </c>
      <c r="B64" s="224">
        <f t="shared" si="17"/>
        <v>0</v>
      </c>
      <c r="C64" s="176">
        <f t="shared" si="16"/>
        <v>0</v>
      </c>
      <c r="D64" s="1076">
        <v>0.25</v>
      </c>
      <c r="E64" s="223">
        <f>'数据-汇总表'!E14</f>
        <v>0</v>
      </c>
      <c r="F64" s="1017">
        <f t="shared" si="15"/>
        <v>0</v>
      </c>
      <c r="G64" s="2172" t="s">
        <v>2590</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2601</v>
      </c>
      <c r="B65" s="224">
        <f t="shared" si="17"/>
        <v>589</v>
      </c>
      <c r="C65" s="176">
        <f t="shared" si="16"/>
        <v>0.2</v>
      </c>
      <c r="D65" s="1076">
        <v>0.25</v>
      </c>
      <c r="E65" s="223">
        <f>'数据-汇总表'!E15</f>
        <v>7219.03</v>
      </c>
      <c r="F65" s="1017">
        <f t="shared" si="15"/>
        <v>425</v>
      </c>
      <c r="G65" s="2173" t="s">
        <v>2595</v>
      </c>
      <c r="H65" s="1028" t="str">
        <f>项目基本情况!C37</f>
        <v>七级</v>
      </c>
      <c r="I65" s="1024">
        <f>SUMIF(修正!A45:A56,H65,修正!H45:H56)</f>
        <v>0.2</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2602</v>
      </c>
      <c r="B66" s="652" t="s">
        <v>28</v>
      </c>
      <c r="C66" s="652" t="s">
        <v>29</v>
      </c>
      <c r="D66" s="652" t="s">
        <v>997</v>
      </c>
      <c r="E66" s="652">
        <f>IF(B46="楼面地价",SUM(E56:E65),'数据-汇总表'!D3)</f>
        <v>39425.990000000005</v>
      </c>
      <c r="F66" s="653">
        <f>IF(B46="楼面地价",SUM(F56:F65),ROUND(C48*E66/10000,0))</f>
        <v>38374</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0"/>
      <c r="Q68" s="2950"/>
      <c r="R68" s="2950"/>
      <c r="S68" s="2950"/>
      <c r="T68" s="2950"/>
      <c r="U68" s="2950"/>
      <c r="V68" s="2950"/>
      <c r="W68" s="2950"/>
      <c r="X68" s="2950"/>
      <c r="Y68" s="2950"/>
      <c r="Z68" s="2950"/>
      <c r="AA68" s="2950"/>
      <c r="AB68" s="2950"/>
      <c r="AC68" s="2950"/>
    </row>
    <row r="69" spans="1:29" ht="21.75" thickBot="1">
      <c r="A69" s="703" t="s">
        <v>2495</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4" t="s">
        <v>2603</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1" t="s">
        <v>3242</v>
      </c>
      <c r="Q70" s="2966" t="s">
        <v>3243</v>
      </c>
      <c r="R70" s="2966" t="s">
        <v>3244</v>
      </c>
      <c r="S70" s="2966"/>
      <c r="T70" s="2966"/>
      <c r="U70" s="2966"/>
      <c r="V70" s="2966"/>
      <c r="W70" s="2966"/>
      <c r="X70" s="2966"/>
      <c r="Y70" s="2966"/>
      <c r="Z70" s="2966"/>
      <c r="AA70" s="2966"/>
      <c r="AB70" s="2966"/>
      <c r="AC70" s="2966"/>
    </row>
    <row r="71" spans="1:29" s="113" customFormat="1" ht="30" customHeight="1">
      <c r="A71" s="2175" t="s">
        <v>2604</v>
      </c>
      <c r="B71" s="294" t="str">
        <f>"北京市平均增长率"&amp;TEXT(SUMIF(基准地价修正!N21:N25,A71,基准地价修正!P21:P25),"0.00%")</f>
        <v>北京市平均增长率1.83%</v>
      </c>
      <c r="C71" s="560">
        <v>100</v>
      </c>
      <c r="D71" s="552">
        <f>C71-$C$72</f>
        <v>99.5</v>
      </c>
      <c r="E71" s="552">
        <f t="shared" ref="E71:R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552">
        <f t="shared" si="20"/>
        <v>93.5</v>
      </c>
      <c r="Q71" s="552">
        <f t="shared" si="20"/>
        <v>93</v>
      </c>
      <c r="R71" s="552">
        <f t="shared" si="20"/>
        <v>92.5</v>
      </c>
      <c r="S71" s="2884"/>
      <c r="T71" s="2884"/>
      <c r="U71" s="2884"/>
      <c r="V71" s="2884"/>
      <c r="W71" s="2884"/>
      <c r="X71" s="2884"/>
      <c r="Y71" s="2884"/>
      <c r="Z71" s="2884"/>
      <c r="AA71" s="2884"/>
      <c r="AB71" s="2884"/>
      <c r="AC71" s="2884"/>
    </row>
    <row r="72" spans="1:29" s="113" customFormat="1" ht="15.75" thickBot="1">
      <c r="A72" s="472" t="s">
        <v>2406</v>
      </c>
      <c r="B72" s="473"/>
      <c r="C72" s="474">
        <v>0.5</v>
      </c>
      <c r="D72" s="475"/>
      <c r="E72" s="475"/>
      <c r="F72" s="475"/>
      <c r="G72" s="475"/>
      <c r="H72" s="475"/>
      <c r="I72" s="475"/>
      <c r="J72" s="475"/>
      <c r="K72" s="475"/>
      <c r="L72" s="475"/>
      <c r="M72" s="476"/>
      <c r="N72" s="475"/>
      <c r="O72" s="1074"/>
      <c r="P72" s="2964"/>
      <c r="Q72" s="2964"/>
      <c r="R72" s="2884"/>
      <c r="S72" s="2884"/>
      <c r="T72" s="2884"/>
      <c r="U72" s="2884"/>
      <c r="V72" s="2884"/>
      <c r="W72" s="2884"/>
      <c r="X72" s="2884"/>
      <c r="Y72" s="2884"/>
      <c r="Z72" s="2884"/>
      <c r="AA72" s="2884"/>
      <c r="AB72" s="2884"/>
      <c r="AC72" s="2884"/>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4"/>
      <c r="S74" s="2884"/>
      <c r="T74" s="2884"/>
      <c r="U74" s="2884"/>
      <c r="V74" s="2884"/>
      <c r="W74" s="2884"/>
      <c r="X74" s="2884"/>
      <c r="Y74" s="2884"/>
      <c r="Z74" s="2884"/>
      <c r="AA74" s="2884"/>
      <c r="AB74" s="2884"/>
      <c r="AC74" s="2884"/>
    </row>
    <row r="75" spans="1:29">
      <c r="A75" s="484" t="s">
        <v>2409</v>
      </c>
      <c r="B75" s="485" t="s">
        <v>2375</v>
      </c>
      <c r="C75" s="3086" t="s">
        <v>3247</v>
      </c>
      <c r="D75" s="3088" t="s">
        <v>3248</v>
      </c>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3087">
        <v>100</v>
      </c>
      <c r="D76" s="3087">
        <v>90</v>
      </c>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3089">
        <v>0</v>
      </c>
      <c r="D80" s="3089">
        <v>1</v>
      </c>
      <c r="E80" s="3089">
        <v>2</v>
      </c>
      <c r="F80" s="3089">
        <v>3</v>
      </c>
      <c r="G80" s="3089">
        <v>4</v>
      </c>
      <c r="H80" s="3089">
        <v>5</v>
      </c>
      <c r="I80" s="3089">
        <v>6</v>
      </c>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t="str">
        <f>B13</f>
        <v>自持</v>
      </c>
      <c r="C84" s="3091" t="s">
        <v>3249</v>
      </c>
      <c r="D84" s="3091" t="s">
        <v>3250</v>
      </c>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3090">
        <v>100</v>
      </c>
      <c r="D85" s="3090">
        <v>95</v>
      </c>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2605</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98</v>
      </c>
      <c r="E93" s="501">
        <f>D93-$K19</f>
        <v>96</v>
      </c>
      <c r="F93" s="501">
        <f>E93-$K19</f>
        <v>94</v>
      </c>
      <c r="G93" s="501">
        <f>F93-$K19</f>
        <v>92</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98</v>
      </c>
      <c r="E95" s="501">
        <f>D95-$K21</f>
        <v>96</v>
      </c>
      <c r="F95" s="501">
        <f>E95-$K21</f>
        <v>94</v>
      </c>
      <c r="G95" s="501">
        <f>F95-$K21</f>
        <v>92</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7"/>
      <c r="O96" s="2977"/>
      <c r="P96" s="3003"/>
      <c r="Q96" s="2964"/>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9"/>
      <c r="O97" s="2979"/>
      <c r="P97" s="3003"/>
      <c r="Q97" s="2964"/>
      <c r="R97" s="2884"/>
      <c r="S97" s="2884"/>
      <c r="T97" s="2884"/>
      <c r="U97" s="2884"/>
      <c r="V97" s="2884"/>
      <c r="W97" s="2884"/>
      <c r="X97" s="2884"/>
      <c r="Y97" s="2884"/>
      <c r="Z97" s="2884"/>
      <c r="AA97" s="2884"/>
      <c r="AB97" s="2884"/>
      <c r="AC97" s="2884"/>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7"/>
      <c r="O98" s="2977"/>
      <c r="P98" s="3003"/>
      <c r="Q98" s="2964"/>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9"/>
      <c r="O99" s="2979"/>
      <c r="P99" s="3003"/>
      <c r="Q99" s="2964"/>
      <c r="R99" s="2884"/>
      <c r="S99" s="2884"/>
      <c r="T99" s="2884"/>
      <c r="U99" s="2884"/>
      <c r="V99" s="2884"/>
      <c r="W99" s="2884"/>
      <c r="X99" s="2884"/>
      <c r="Y99" s="2884"/>
      <c r="Z99" s="2884"/>
      <c r="AA99" s="2884"/>
      <c r="AB99" s="2884"/>
      <c r="AC99" s="2884"/>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3092" t="s">
        <v>3252</v>
      </c>
      <c r="D106" s="3092" t="s">
        <v>3253</v>
      </c>
      <c r="E106" s="3092" t="s">
        <v>3254</v>
      </c>
      <c r="F106" s="3092" t="s">
        <v>3255</v>
      </c>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3093" t="s">
        <v>56</v>
      </c>
      <c r="D108" s="3093" t="s">
        <v>526</v>
      </c>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99</v>
      </c>
      <c r="E109" s="501">
        <f t="shared" ref="E109:M109" si="25">D109-$K34</f>
        <v>98</v>
      </c>
      <c r="F109" s="501">
        <f t="shared" si="25"/>
        <v>97</v>
      </c>
      <c r="G109" s="501">
        <f t="shared" si="25"/>
        <v>96</v>
      </c>
      <c r="H109" s="501">
        <f t="shared" si="25"/>
        <v>95</v>
      </c>
      <c r="I109" s="501">
        <f t="shared" si="25"/>
        <v>94</v>
      </c>
      <c r="J109" s="501">
        <f t="shared" si="25"/>
        <v>93</v>
      </c>
      <c r="K109" s="501">
        <f t="shared" si="25"/>
        <v>92</v>
      </c>
      <c r="L109" s="501">
        <f t="shared" si="25"/>
        <v>91</v>
      </c>
      <c r="M109" s="501">
        <f t="shared" si="25"/>
        <v>90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ht="28.5">
      <c r="A116" s="484" t="s">
        <v>2384</v>
      </c>
      <c r="B116" s="485" t="s">
        <v>2612</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3096">
        <v>0</v>
      </c>
      <c r="D117" s="3096">
        <v>20000</v>
      </c>
      <c r="E117" s="3096">
        <v>40000</v>
      </c>
      <c r="F117" s="3096">
        <v>60000</v>
      </c>
      <c r="G117" s="3096">
        <v>80000</v>
      </c>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3094">
        <v>100</v>
      </c>
      <c r="D118" s="3095">
        <v>102</v>
      </c>
      <c r="E118" s="3095">
        <v>104</v>
      </c>
      <c r="F118" s="3095">
        <v>106</v>
      </c>
      <c r="G118" s="3095">
        <v>108</v>
      </c>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2613</v>
      </c>
      <c r="C119" s="3097" t="s">
        <v>3256</v>
      </c>
      <c r="D119" s="3097" t="s">
        <v>3257</v>
      </c>
      <c r="E119" s="3097" t="s">
        <v>3258</v>
      </c>
      <c r="F119" s="3097" t="s">
        <v>3259</v>
      </c>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2614</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2615</v>
      </c>
      <c r="C123" s="3098" t="s">
        <v>3245</v>
      </c>
      <c r="D123" s="3098" t="s">
        <v>3260</v>
      </c>
      <c r="E123" s="3098" t="s">
        <v>3261</v>
      </c>
      <c r="F123" s="3098" t="s">
        <v>3262</v>
      </c>
      <c r="G123" s="3098" t="s">
        <v>3263</v>
      </c>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2616</v>
      </c>
      <c r="C125" s="3099" t="s">
        <v>3264</v>
      </c>
      <c r="D125" s="3099" t="s">
        <v>3265</v>
      </c>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1F398-35B2-48EB-AAD4-14B29B5F88D4}">
  <dimension ref="A1:P34"/>
  <sheetViews>
    <sheetView topLeftCell="A19" workbookViewId="0">
      <selection activeCell="H23" sqref="H23"/>
    </sheetView>
  </sheetViews>
  <sheetFormatPr defaultRowHeight="13.5"/>
  <cols>
    <col min="1" max="1" width="24.75" customWidth="1"/>
    <col min="15" max="15" width="11.875" customWidth="1"/>
  </cols>
  <sheetData>
    <row r="1" spans="1:16" ht="24">
      <c r="A1" s="3076" t="s">
        <v>3117</v>
      </c>
      <c r="B1" s="3076" t="s">
        <v>3118</v>
      </c>
      <c r="C1" s="3076" t="s">
        <v>3119</v>
      </c>
      <c r="D1" s="3076" t="s">
        <v>3120</v>
      </c>
      <c r="E1" s="3076" t="s">
        <v>3121</v>
      </c>
      <c r="F1" s="3076" t="s">
        <v>3122</v>
      </c>
      <c r="G1" s="3076" t="s">
        <v>3123</v>
      </c>
      <c r="H1" s="3076" t="s">
        <v>3124</v>
      </c>
      <c r="I1" s="3076" t="s">
        <v>3125</v>
      </c>
      <c r="J1" s="3076" t="s">
        <v>3126</v>
      </c>
      <c r="K1" s="3076" t="s">
        <v>3127</v>
      </c>
      <c r="L1" s="3076" t="s">
        <v>3128</v>
      </c>
      <c r="M1" s="3076" t="s">
        <v>3129</v>
      </c>
      <c r="N1" s="3076" t="s">
        <v>3130</v>
      </c>
      <c r="O1" s="3076" t="s">
        <v>3131</v>
      </c>
      <c r="P1" s="3076" t="s">
        <v>3132</v>
      </c>
    </row>
    <row r="2" spans="1:16" ht="60">
      <c r="A2" s="3076" t="s">
        <v>3133</v>
      </c>
      <c r="B2" s="3076" t="s">
        <v>3062</v>
      </c>
      <c r="C2" s="3076" t="s">
        <v>3134</v>
      </c>
      <c r="D2" s="3076">
        <v>63225.37</v>
      </c>
      <c r="E2" s="3076">
        <v>120200</v>
      </c>
      <c r="F2" s="3076" t="s">
        <v>3135</v>
      </c>
      <c r="G2" s="3076" t="s">
        <v>3136</v>
      </c>
      <c r="H2" s="3076" t="s">
        <v>3137</v>
      </c>
      <c r="I2" s="3076" t="s">
        <v>3138</v>
      </c>
      <c r="J2" s="3076" t="s">
        <v>3138</v>
      </c>
      <c r="K2" s="3076">
        <v>88100</v>
      </c>
      <c r="L2" s="3076">
        <v>88100</v>
      </c>
      <c r="M2" s="3076">
        <v>7329.44</v>
      </c>
      <c r="N2" s="3076">
        <v>0</v>
      </c>
      <c r="O2" s="3076" t="s">
        <v>3139</v>
      </c>
      <c r="P2" s="3076" t="s">
        <v>3140</v>
      </c>
    </row>
    <row r="3" spans="1:16" ht="24">
      <c r="A3" s="3076" t="s">
        <v>3141</v>
      </c>
      <c r="B3" s="3076" t="s">
        <v>3062</v>
      </c>
      <c r="C3" s="3076" t="s">
        <v>3134</v>
      </c>
      <c r="D3" s="3076">
        <v>5352.65</v>
      </c>
      <c r="E3" s="3076">
        <v>843</v>
      </c>
      <c r="F3" s="3076" t="s">
        <v>3142</v>
      </c>
      <c r="G3" s="3076" t="s">
        <v>3136</v>
      </c>
      <c r="H3" s="3076" t="s">
        <v>3143</v>
      </c>
      <c r="I3" s="3076" t="s">
        <v>3144</v>
      </c>
      <c r="J3" s="3076" t="s">
        <v>3144</v>
      </c>
      <c r="K3" s="3076">
        <v>1310</v>
      </c>
      <c r="L3" s="3076">
        <v>1310</v>
      </c>
      <c r="M3" s="3076">
        <v>15539.73</v>
      </c>
      <c r="N3" s="3076">
        <v>0</v>
      </c>
      <c r="O3" s="3076" t="s">
        <v>3145</v>
      </c>
      <c r="P3" s="3076" t="s">
        <v>3146</v>
      </c>
    </row>
    <row r="4" spans="1:16" ht="24">
      <c r="A4" s="3076" t="s">
        <v>3147</v>
      </c>
      <c r="B4" s="3076" t="s">
        <v>3062</v>
      </c>
      <c r="C4" s="3076" t="s">
        <v>3134</v>
      </c>
      <c r="D4" s="3076">
        <v>36823.82</v>
      </c>
      <c r="E4" s="3076">
        <v>25187</v>
      </c>
      <c r="F4" s="3076" t="s">
        <v>3148</v>
      </c>
      <c r="G4" s="3076" t="s">
        <v>3136</v>
      </c>
      <c r="H4" s="3076" t="s">
        <v>3137</v>
      </c>
      <c r="I4" s="3076" t="s">
        <v>3144</v>
      </c>
      <c r="J4" s="3076" t="s">
        <v>3144</v>
      </c>
      <c r="K4" s="3076">
        <v>29500</v>
      </c>
      <c r="L4" s="3076">
        <v>29500</v>
      </c>
      <c r="M4" s="3076">
        <v>11712.38</v>
      </c>
      <c r="N4" s="3076">
        <v>0</v>
      </c>
      <c r="O4" s="3076" t="s">
        <v>3149</v>
      </c>
      <c r="P4" s="3076" t="s">
        <v>3146</v>
      </c>
    </row>
    <row r="5" spans="1:16" ht="84">
      <c r="A5" s="3076" t="s">
        <v>3150</v>
      </c>
      <c r="B5" s="3076" t="s">
        <v>3062</v>
      </c>
      <c r="C5" s="3076" t="s">
        <v>3134</v>
      </c>
      <c r="D5" s="3076">
        <v>265269.8</v>
      </c>
      <c r="E5" s="3076">
        <v>665975.69999999995</v>
      </c>
      <c r="F5" s="3076" t="s">
        <v>3151</v>
      </c>
      <c r="G5" s="3076" t="s">
        <v>3136</v>
      </c>
      <c r="H5" s="3076" t="s">
        <v>3137</v>
      </c>
      <c r="I5" s="3076" t="s">
        <v>3152</v>
      </c>
      <c r="J5" s="3076" t="s">
        <v>3152</v>
      </c>
      <c r="K5" s="3076">
        <v>699300</v>
      </c>
      <c r="L5" s="3076">
        <v>699300</v>
      </c>
      <c r="M5" s="3076">
        <v>10500.37</v>
      </c>
      <c r="N5" s="3076">
        <v>0</v>
      </c>
      <c r="O5" s="3076" t="s">
        <v>3153</v>
      </c>
      <c r="P5" s="3076" t="s">
        <v>3154</v>
      </c>
    </row>
    <row r="6" spans="1:16" ht="36">
      <c r="A6" s="3076" t="s">
        <v>3155</v>
      </c>
      <c r="B6" s="3076" t="s">
        <v>3062</v>
      </c>
      <c r="C6" s="3076" t="s">
        <v>3134</v>
      </c>
      <c r="D6" s="3076">
        <v>7289.19</v>
      </c>
      <c r="E6" s="3076">
        <v>21867.57</v>
      </c>
      <c r="F6" s="3076" t="s">
        <v>3156</v>
      </c>
      <c r="G6" s="3076" t="s">
        <v>3136</v>
      </c>
      <c r="H6" s="3076" t="s">
        <v>3157</v>
      </c>
      <c r="I6" s="3076" t="s">
        <v>3158</v>
      </c>
      <c r="J6" s="3076" t="s">
        <v>3158</v>
      </c>
      <c r="K6" s="3076">
        <v>35200</v>
      </c>
      <c r="L6" s="3076">
        <v>35200</v>
      </c>
      <c r="M6" s="3076">
        <v>16096.89</v>
      </c>
      <c r="N6" s="3076">
        <v>0</v>
      </c>
      <c r="O6" s="3076" t="s">
        <v>3159</v>
      </c>
      <c r="P6" s="3076" t="s">
        <v>3160</v>
      </c>
    </row>
    <row r="7" spans="1:16" ht="36">
      <c r="A7" s="3076" t="s">
        <v>3161</v>
      </c>
      <c r="B7" s="3076" t="s">
        <v>3062</v>
      </c>
      <c r="C7" s="3076" t="s">
        <v>3134</v>
      </c>
      <c r="D7" s="3076">
        <v>12501.51</v>
      </c>
      <c r="E7" s="3076">
        <v>37505</v>
      </c>
      <c r="F7" s="3076" t="s">
        <v>3156</v>
      </c>
      <c r="G7" s="3076" t="s">
        <v>3136</v>
      </c>
      <c r="H7" s="3076" t="s">
        <v>3137</v>
      </c>
      <c r="I7" s="3076" t="s">
        <v>3158</v>
      </c>
      <c r="J7" s="3076" t="s">
        <v>3158</v>
      </c>
      <c r="K7" s="3076">
        <v>56000</v>
      </c>
      <c r="L7" s="3076">
        <v>56000</v>
      </c>
      <c r="M7" s="3076">
        <v>14931.34</v>
      </c>
      <c r="N7" s="3076">
        <v>0</v>
      </c>
      <c r="O7" s="3076" t="s">
        <v>3162</v>
      </c>
      <c r="P7" s="3076" t="s">
        <v>3160</v>
      </c>
    </row>
    <row r="8" spans="1:16" ht="48">
      <c r="A8" s="3076" t="s">
        <v>3163</v>
      </c>
      <c r="B8" s="3076" t="s">
        <v>3062</v>
      </c>
      <c r="C8" s="3076" t="s">
        <v>3134</v>
      </c>
      <c r="D8" s="3076">
        <v>30159.25</v>
      </c>
      <c r="E8" s="3076">
        <v>138421</v>
      </c>
      <c r="F8" s="3076" t="s">
        <v>3164</v>
      </c>
      <c r="G8" s="3076" t="s">
        <v>3136</v>
      </c>
      <c r="H8" s="3076" t="s">
        <v>3165</v>
      </c>
      <c r="I8" s="3076" t="s">
        <v>3166</v>
      </c>
      <c r="J8" s="3076" t="s">
        <v>3166</v>
      </c>
      <c r="K8" s="3076">
        <v>230100</v>
      </c>
      <c r="L8" s="3076">
        <v>230100</v>
      </c>
      <c r="M8" s="3076">
        <v>16623.2</v>
      </c>
      <c r="N8" s="3076">
        <v>0</v>
      </c>
      <c r="O8" s="3076" t="s">
        <v>3167</v>
      </c>
      <c r="P8" s="3076" t="s">
        <v>3160</v>
      </c>
    </row>
    <row r="9" spans="1:16" ht="72">
      <c r="A9" s="3076" t="s">
        <v>3168</v>
      </c>
      <c r="B9" s="3076" t="s">
        <v>3062</v>
      </c>
      <c r="C9" s="3076" t="s">
        <v>3134</v>
      </c>
      <c r="D9" s="3076">
        <v>35629.120000000003</v>
      </c>
      <c r="E9" s="3076">
        <v>100429</v>
      </c>
      <c r="F9" s="3076" t="s">
        <v>3169</v>
      </c>
      <c r="G9" s="3076" t="s">
        <v>3136</v>
      </c>
      <c r="H9" s="3076" t="s">
        <v>3170</v>
      </c>
      <c r="I9" s="3076" t="s">
        <v>3166</v>
      </c>
      <c r="J9" s="3076" t="s">
        <v>3166</v>
      </c>
      <c r="K9" s="3076">
        <v>166700</v>
      </c>
      <c r="L9" s="3076">
        <v>166700</v>
      </c>
      <c r="M9" s="3076">
        <v>16598.79</v>
      </c>
      <c r="N9" s="3076">
        <v>0</v>
      </c>
      <c r="O9" s="3076" t="s">
        <v>3167</v>
      </c>
      <c r="P9" s="3076" t="s">
        <v>3160</v>
      </c>
    </row>
    <row r="10" spans="1:16" ht="108">
      <c r="A10" s="3076" t="s">
        <v>3171</v>
      </c>
      <c r="B10" s="3076" t="s">
        <v>3062</v>
      </c>
      <c r="C10" s="3076" t="s">
        <v>3134</v>
      </c>
      <c r="D10" s="3076">
        <v>70601.070000000007</v>
      </c>
      <c r="E10" s="3076">
        <v>285523</v>
      </c>
      <c r="F10" s="3076" t="s">
        <v>3172</v>
      </c>
      <c r="G10" s="3076" t="s">
        <v>3173</v>
      </c>
      <c r="H10" s="3076" t="s">
        <v>3174</v>
      </c>
      <c r="I10" s="3076" t="s">
        <v>3175</v>
      </c>
      <c r="J10" s="3076" t="s">
        <v>3175</v>
      </c>
      <c r="K10" s="3076" t="s">
        <v>1298</v>
      </c>
      <c r="L10" s="3076">
        <v>660900</v>
      </c>
      <c r="M10" s="3076">
        <v>23147</v>
      </c>
      <c r="N10" s="3076" t="s">
        <v>1298</v>
      </c>
      <c r="O10" s="3076" t="s">
        <v>3176</v>
      </c>
      <c r="P10" s="3076" t="s">
        <v>3160</v>
      </c>
    </row>
    <row r="11" spans="1:16" ht="60">
      <c r="A11" s="3076" t="s">
        <v>3177</v>
      </c>
      <c r="B11" s="3076" t="s">
        <v>3062</v>
      </c>
      <c r="C11" s="3076" t="s">
        <v>3134</v>
      </c>
      <c r="D11" s="3076">
        <v>28003.32</v>
      </c>
      <c r="E11" s="3076">
        <v>70008</v>
      </c>
      <c r="F11" s="3076" t="s">
        <v>3178</v>
      </c>
      <c r="G11" s="3076" t="s">
        <v>3136</v>
      </c>
      <c r="H11" s="3076" t="s">
        <v>3137</v>
      </c>
      <c r="I11" s="3076" t="s">
        <v>3179</v>
      </c>
      <c r="J11" s="3076" t="s">
        <v>3179</v>
      </c>
      <c r="K11" s="3076">
        <v>96800</v>
      </c>
      <c r="L11" s="3076">
        <v>97800</v>
      </c>
      <c r="M11" s="3076">
        <v>13969.82</v>
      </c>
      <c r="N11" s="3076">
        <v>1.03</v>
      </c>
      <c r="O11" s="3076" t="s">
        <v>3180</v>
      </c>
      <c r="P11" s="3076" t="s">
        <v>3160</v>
      </c>
    </row>
    <row r="12" spans="1:16" ht="36">
      <c r="A12" s="3076" t="s">
        <v>3181</v>
      </c>
      <c r="B12" s="3076" t="s">
        <v>3062</v>
      </c>
      <c r="C12" s="3076" t="s">
        <v>3134</v>
      </c>
      <c r="D12" s="3076">
        <v>42276.47</v>
      </c>
      <c r="E12" s="3076">
        <v>84552.93</v>
      </c>
      <c r="F12" s="3076" t="s">
        <v>3182</v>
      </c>
      <c r="G12" s="3076" t="s">
        <v>3136</v>
      </c>
      <c r="H12" s="3076" t="s">
        <v>3165</v>
      </c>
      <c r="I12" s="3076" t="s">
        <v>3183</v>
      </c>
      <c r="J12" s="3076" t="s">
        <v>3183</v>
      </c>
      <c r="K12" s="3076">
        <v>95000</v>
      </c>
      <c r="L12" s="3076">
        <v>96500</v>
      </c>
      <c r="M12" s="3076">
        <v>11412.96</v>
      </c>
      <c r="N12" s="3076">
        <v>1.58</v>
      </c>
      <c r="O12" s="3076" t="s">
        <v>3184</v>
      </c>
      <c r="P12" s="3076" t="s">
        <v>3185</v>
      </c>
    </row>
    <row r="13" spans="1:16" ht="36">
      <c r="A13" s="3076" t="s">
        <v>3186</v>
      </c>
      <c r="B13" s="3076" t="s">
        <v>3062</v>
      </c>
      <c r="C13" s="3076" t="s">
        <v>3134</v>
      </c>
      <c r="D13" s="3076">
        <v>22035.93</v>
      </c>
      <c r="E13" s="3076">
        <v>61700.6</v>
      </c>
      <c r="F13" s="3076" t="s">
        <v>3187</v>
      </c>
      <c r="G13" s="3076" t="s">
        <v>3136</v>
      </c>
      <c r="H13" s="3076" t="s">
        <v>3165</v>
      </c>
      <c r="I13" s="3076" t="s">
        <v>3188</v>
      </c>
      <c r="J13" s="3076" t="s">
        <v>3188</v>
      </c>
      <c r="K13" s="3076">
        <v>103700</v>
      </c>
      <c r="L13" s="3076">
        <v>103700</v>
      </c>
      <c r="M13" s="3076">
        <v>16806.97</v>
      </c>
      <c r="N13" s="3076">
        <v>0</v>
      </c>
      <c r="O13" s="3076" t="s">
        <v>3189</v>
      </c>
      <c r="P13" s="3076" t="s">
        <v>3160</v>
      </c>
    </row>
    <row r="14" spans="1:16" ht="48">
      <c r="A14" s="3076" t="s">
        <v>3190</v>
      </c>
      <c r="B14" s="3076" t="s">
        <v>3062</v>
      </c>
      <c r="C14" s="3076" t="s">
        <v>3134</v>
      </c>
      <c r="D14" s="3076">
        <v>32158.94</v>
      </c>
      <c r="E14" s="3076">
        <v>96476.82</v>
      </c>
      <c r="F14" s="3076" t="s">
        <v>3156</v>
      </c>
      <c r="G14" s="3076" t="s">
        <v>3136</v>
      </c>
      <c r="H14" s="3076" t="s">
        <v>3143</v>
      </c>
      <c r="I14" s="3076" t="s">
        <v>3191</v>
      </c>
      <c r="J14" s="3076" t="s">
        <v>3191</v>
      </c>
      <c r="K14" s="3076">
        <v>263800</v>
      </c>
      <c r="L14" s="3076">
        <v>263800</v>
      </c>
      <c r="M14" s="3076">
        <v>27343.360000000001</v>
      </c>
      <c r="N14" s="3076">
        <v>0</v>
      </c>
      <c r="O14" s="3076" t="s">
        <v>3192</v>
      </c>
      <c r="P14" s="3076" t="s">
        <v>3160</v>
      </c>
    </row>
    <row r="15" spans="1:16" ht="48">
      <c r="A15" s="3076" t="s">
        <v>3193</v>
      </c>
      <c r="B15" s="3076" t="s">
        <v>3062</v>
      </c>
      <c r="C15" s="3076" t="s">
        <v>3134</v>
      </c>
      <c r="D15" s="3076">
        <v>51736.9</v>
      </c>
      <c r="E15" s="3076">
        <v>81600.05</v>
      </c>
      <c r="F15" s="3076" t="s">
        <v>3194</v>
      </c>
      <c r="G15" s="3076" t="s">
        <v>3136</v>
      </c>
      <c r="H15" s="3076" t="s">
        <v>3137</v>
      </c>
      <c r="I15" s="3076" t="s">
        <v>3191</v>
      </c>
      <c r="J15" s="3076" t="s">
        <v>3191</v>
      </c>
      <c r="K15" s="3076">
        <v>150000</v>
      </c>
      <c r="L15" s="3076">
        <v>150000</v>
      </c>
      <c r="M15" s="3076">
        <v>18382.34</v>
      </c>
      <c r="N15" s="3076">
        <v>0</v>
      </c>
      <c r="O15" s="3076" t="s">
        <v>3195</v>
      </c>
      <c r="P15" s="3076" t="s">
        <v>3154</v>
      </c>
    </row>
    <row r="16" spans="1:16" ht="36">
      <c r="A16" s="3076" t="s">
        <v>3196</v>
      </c>
      <c r="B16" s="3076" t="s">
        <v>3062</v>
      </c>
      <c r="C16" s="3076" t="s">
        <v>3134</v>
      </c>
      <c r="D16" s="3076">
        <v>28622.32</v>
      </c>
      <c r="E16" s="3076">
        <v>71556</v>
      </c>
      <c r="F16" s="3076">
        <v>2.5</v>
      </c>
      <c r="G16" s="3076" t="s">
        <v>3136</v>
      </c>
      <c r="H16" s="3076" t="s">
        <v>3165</v>
      </c>
      <c r="I16" s="3076" t="s">
        <v>3197</v>
      </c>
      <c r="J16" s="3076" t="s">
        <v>3197</v>
      </c>
      <c r="K16" s="3076">
        <v>132000</v>
      </c>
      <c r="L16" s="3076">
        <v>132000</v>
      </c>
      <c r="M16" s="3076">
        <v>18447.09</v>
      </c>
      <c r="N16" s="3076">
        <v>0</v>
      </c>
      <c r="O16" s="3076" t="s">
        <v>3198</v>
      </c>
      <c r="P16" s="3076" t="s">
        <v>3154</v>
      </c>
    </row>
    <row r="17" spans="1:16" ht="48">
      <c r="A17" s="3076" t="s">
        <v>3199</v>
      </c>
      <c r="B17" s="3076" t="s">
        <v>3062</v>
      </c>
      <c r="C17" s="3076" t="s">
        <v>3134</v>
      </c>
      <c r="D17" s="3076">
        <v>28725.47</v>
      </c>
      <c r="E17" s="3076">
        <v>71814</v>
      </c>
      <c r="F17" s="3076">
        <v>2.5</v>
      </c>
      <c r="G17" s="3076" t="s">
        <v>3173</v>
      </c>
      <c r="H17" s="3076" t="s">
        <v>3165</v>
      </c>
      <c r="I17" s="3076" t="s">
        <v>3200</v>
      </c>
      <c r="J17" s="3076" t="s">
        <v>3200</v>
      </c>
      <c r="K17" s="3076" t="s">
        <v>1298</v>
      </c>
      <c r="L17" s="3076">
        <v>32000</v>
      </c>
      <c r="M17" s="3076">
        <v>4455.96</v>
      </c>
      <c r="N17" s="3076" t="s">
        <v>1298</v>
      </c>
      <c r="O17" s="3076" t="s">
        <v>3201</v>
      </c>
      <c r="P17" s="3076" t="s">
        <v>3154</v>
      </c>
    </row>
    <row r="18" spans="1:16" ht="60">
      <c r="A18" s="3076" t="s">
        <v>3202</v>
      </c>
      <c r="B18" s="3076" t="s">
        <v>3062</v>
      </c>
      <c r="C18" s="3076" t="s">
        <v>3134</v>
      </c>
      <c r="D18" s="3076">
        <v>138746.29999999999</v>
      </c>
      <c r="E18" s="3076">
        <v>486596</v>
      </c>
      <c r="F18" s="3076">
        <v>3.51</v>
      </c>
      <c r="G18" s="3076" t="s">
        <v>3136</v>
      </c>
      <c r="H18" s="3076" t="s">
        <v>3170</v>
      </c>
      <c r="I18" s="3076" t="s">
        <v>3203</v>
      </c>
      <c r="J18" s="3076" t="s">
        <v>3203</v>
      </c>
      <c r="K18" s="3076">
        <v>866300</v>
      </c>
      <c r="L18" s="3076">
        <v>866300</v>
      </c>
      <c r="M18" s="3076">
        <v>17803.27</v>
      </c>
      <c r="N18" s="3076">
        <v>0</v>
      </c>
      <c r="O18" s="3076" t="s">
        <v>3204</v>
      </c>
      <c r="P18" s="3076" t="s">
        <v>3160</v>
      </c>
    </row>
    <row r="19" spans="1:16" ht="72">
      <c r="A19" s="3076" t="s">
        <v>3205</v>
      </c>
      <c r="B19" s="3076" t="s">
        <v>3062</v>
      </c>
      <c r="C19" s="3076" t="s">
        <v>3134</v>
      </c>
      <c r="D19" s="3076">
        <v>39410.74</v>
      </c>
      <c r="E19" s="3076">
        <v>120000</v>
      </c>
      <c r="F19" s="3076">
        <v>3.04</v>
      </c>
      <c r="G19" s="3076" t="s">
        <v>3173</v>
      </c>
      <c r="H19" s="3076" t="s">
        <v>3137</v>
      </c>
      <c r="I19" s="3076" t="s">
        <v>3206</v>
      </c>
      <c r="J19" s="3076" t="s">
        <v>3206</v>
      </c>
      <c r="K19" s="3076" t="s">
        <v>1298</v>
      </c>
      <c r="L19" s="3076">
        <v>318758</v>
      </c>
      <c r="M19" s="3076">
        <v>26563.16</v>
      </c>
      <c r="N19" s="3076" t="s">
        <v>1298</v>
      </c>
      <c r="O19" s="3076" t="s">
        <v>3207</v>
      </c>
      <c r="P19" s="3076" t="s">
        <v>3160</v>
      </c>
    </row>
    <row r="20" spans="1:16" ht="72">
      <c r="A20" s="3076" t="s">
        <v>3208</v>
      </c>
      <c r="B20" s="3076" t="s">
        <v>3062</v>
      </c>
      <c r="C20" s="3076" t="s">
        <v>3134</v>
      </c>
      <c r="D20" s="3076">
        <v>113768</v>
      </c>
      <c r="E20" s="3076">
        <v>119494</v>
      </c>
      <c r="F20" s="3076">
        <v>1.05</v>
      </c>
      <c r="G20" s="3076" t="s">
        <v>3136</v>
      </c>
      <c r="H20" s="3076" t="s">
        <v>3137</v>
      </c>
      <c r="I20" s="3076" t="s">
        <v>3209</v>
      </c>
      <c r="J20" s="3076" t="s">
        <v>3209</v>
      </c>
      <c r="K20" s="3076" t="s">
        <v>1298</v>
      </c>
      <c r="L20" s="3076">
        <v>74000</v>
      </c>
      <c r="M20" s="3076">
        <v>6192.77</v>
      </c>
      <c r="N20" s="3076" t="s">
        <v>1298</v>
      </c>
      <c r="O20" s="3076" t="s">
        <v>3210</v>
      </c>
      <c r="P20" s="3076" t="s">
        <v>3185</v>
      </c>
    </row>
    <row r="21" spans="1:16" ht="60">
      <c r="A21" s="3076" t="s">
        <v>3211</v>
      </c>
      <c r="B21" s="3076" t="s">
        <v>3062</v>
      </c>
      <c r="C21" s="3076" t="s">
        <v>3134</v>
      </c>
      <c r="D21" s="3076">
        <v>33071.620000000003</v>
      </c>
      <c r="E21" s="3076">
        <v>122423.9</v>
      </c>
      <c r="F21" s="3076">
        <v>3.7</v>
      </c>
      <c r="G21" s="3076" t="s">
        <v>3136</v>
      </c>
      <c r="H21" s="3076" t="s">
        <v>3212</v>
      </c>
      <c r="I21" s="3076" t="s">
        <v>3213</v>
      </c>
      <c r="J21" s="3076" t="s">
        <v>3213</v>
      </c>
      <c r="K21" s="3076">
        <v>183000</v>
      </c>
      <c r="L21" s="3076">
        <v>183000</v>
      </c>
      <c r="M21" s="3076">
        <v>14948.05</v>
      </c>
      <c r="N21" s="3076">
        <v>0</v>
      </c>
      <c r="O21" s="3076" t="s">
        <v>3214</v>
      </c>
      <c r="P21" s="3076" t="s">
        <v>3154</v>
      </c>
    </row>
    <row r="22" spans="1:16" ht="36">
      <c r="A22" s="3076" t="s">
        <v>3215</v>
      </c>
      <c r="B22" s="3076" t="s">
        <v>3062</v>
      </c>
      <c r="C22" s="3076" t="s">
        <v>3134</v>
      </c>
      <c r="D22" s="3076">
        <v>338760.2</v>
      </c>
      <c r="E22" s="3076">
        <v>232306.7</v>
      </c>
      <c r="F22" s="3076">
        <v>0.69</v>
      </c>
      <c r="G22" s="3076" t="s">
        <v>3173</v>
      </c>
      <c r="H22" s="3076" t="s">
        <v>3216</v>
      </c>
      <c r="I22" s="3076" t="s">
        <v>3217</v>
      </c>
      <c r="J22" s="3076" t="s">
        <v>3217</v>
      </c>
      <c r="K22" s="3076" t="s">
        <v>1298</v>
      </c>
      <c r="L22" s="3076">
        <v>89500</v>
      </c>
      <c r="M22" s="3076">
        <v>3852.67</v>
      </c>
      <c r="N22" s="3076" t="s">
        <v>1298</v>
      </c>
      <c r="O22" s="3076" t="s">
        <v>3218</v>
      </c>
      <c r="P22" s="3076" t="s">
        <v>3140</v>
      </c>
    </row>
    <row r="23" spans="1:16" ht="60">
      <c r="A23" s="3077" t="s">
        <v>3219</v>
      </c>
      <c r="B23" s="3077" t="s">
        <v>3062</v>
      </c>
      <c r="C23" s="3077" t="s">
        <v>3134</v>
      </c>
      <c r="D23" s="3077">
        <v>18015.060000000001</v>
      </c>
      <c r="E23" s="3077">
        <v>54046</v>
      </c>
      <c r="F23" s="3077">
        <v>3</v>
      </c>
      <c r="G23" s="3077" t="s">
        <v>3136</v>
      </c>
      <c r="H23" s="3077" t="s">
        <v>3165</v>
      </c>
      <c r="I23" s="3077" t="s">
        <v>3220</v>
      </c>
      <c r="J23" s="3077" t="s">
        <v>3220</v>
      </c>
      <c r="K23" s="3077">
        <v>60000</v>
      </c>
      <c r="L23" s="3077">
        <v>60000</v>
      </c>
      <c r="M23" s="3077">
        <v>11102</v>
      </c>
      <c r="N23" s="3077">
        <v>0</v>
      </c>
      <c r="O23" s="3077" t="s">
        <v>3221</v>
      </c>
      <c r="P23" s="3077" t="s">
        <v>3154</v>
      </c>
    </row>
    <row r="24" spans="1:16" ht="72">
      <c r="A24" s="3077" t="s">
        <v>3222</v>
      </c>
      <c r="B24" s="3077" t="s">
        <v>3062</v>
      </c>
      <c r="C24" s="3077" t="s">
        <v>3134</v>
      </c>
      <c r="D24" s="3077">
        <v>59747.77</v>
      </c>
      <c r="E24" s="3077">
        <v>89622</v>
      </c>
      <c r="F24" s="3077">
        <v>1.5</v>
      </c>
      <c r="G24" s="3077" t="s">
        <v>3136</v>
      </c>
      <c r="H24" s="3077" t="s">
        <v>3223</v>
      </c>
      <c r="I24" s="3077" t="s">
        <v>3224</v>
      </c>
      <c r="J24" s="3077" t="s">
        <v>3224</v>
      </c>
      <c r="K24" s="3077">
        <v>146800</v>
      </c>
      <c r="L24" s="3077">
        <v>146800</v>
      </c>
      <c r="M24" s="3077">
        <v>16380</v>
      </c>
      <c r="N24" s="3077">
        <v>0</v>
      </c>
      <c r="O24" s="3077" t="s">
        <v>3225</v>
      </c>
      <c r="P24" s="3077" t="s">
        <v>3154</v>
      </c>
    </row>
    <row r="25" spans="1:16" ht="36">
      <c r="A25" s="3077" t="s">
        <v>3226</v>
      </c>
      <c r="B25" s="3077" t="s">
        <v>3062</v>
      </c>
      <c r="C25" s="3077" t="s">
        <v>3134</v>
      </c>
      <c r="D25" s="3077">
        <v>31420.65</v>
      </c>
      <c r="E25" s="3077">
        <v>65983</v>
      </c>
      <c r="F25" s="3077">
        <v>2.1</v>
      </c>
      <c r="G25" s="3077" t="s">
        <v>3136</v>
      </c>
      <c r="H25" s="3077" t="s">
        <v>3223</v>
      </c>
      <c r="I25" s="3077" t="s">
        <v>3224</v>
      </c>
      <c r="J25" s="3077" t="s">
        <v>3224</v>
      </c>
      <c r="K25" s="3077">
        <v>108100</v>
      </c>
      <c r="L25" s="3077">
        <v>108100</v>
      </c>
      <c r="M25" s="3077">
        <v>16383</v>
      </c>
      <c r="N25" s="3077">
        <v>0</v>
      </c>
      <c r="O25" s="3077" t="s">
        <v>3227</v>
      </c>
      <c r="P25" s="3077" t="s">
        <v>3154</v>
      </c>
    </row>
    <row r="26" spans="1:16" ht="36">
      <c r="A26" s="3076" t="s">
        <v>3228</v>
      </c>
      <c r="B26" s="3076" t="s">
        <v>3062</v>
      </c>
      <c r="C26" s="3076" t="s">
        <v>3134</v>
      </c>
      <c r="D26" s="3076">
        <v>176099.5</v>
      </c>
      <c r="E26" s="3076">
        <v>153071</v>
      </c>
      <c r="F26" s="3076">
        <v>0.86899999999999999</v>
      </c>
      <c r="G26" s="3076" t="s">
        <v>3136</v>
      </c>
      <c r="H26" s="3076" t="s">
        <v>3143</v>
      </c>
      <c r="I26" s="3076" t="s">
        <v>3229</v>
      </c>
      <c r="J26" s="3076" t="s">
        <v>3229</v>
      </c>
      <c r="K26" s="3076" t="s">
        <v>1298</v>
      </c>
      <c r="L26" s="3076">
        <v>93800</v>
      </c>
      <c r="M26" s="3076">
        <v>6127.88</v>
      </c>
      <c r="N26" s="3076" t="s">
        <v>1298</v>
      </c>
      <c r="O26" s="3076" t="s">
        <v>3230</v>
      </c>
      <c r="P26" s="3076" t="s">
        <v>3140</v>
      </c>
    </row>
    <row r="27" spans="1:16" ht="36">
      <c r="A27" s="3076" t="s">
        <v>3231</v>
      </c>
      <c r="B27" s="3076" t="s">
        <v>3062</v>
      </c>
      <c r="C27" s="3076" t="s">
        <v>3134</v>
      </c>
      <c r="D27" s="3076">
        <v>15240.2</v>
      </c>
      <c r="E27" s="3076">
        <v>86800</v>
      </c>
      <c r="F27" s="3076">
        <v>5.6955</v>
      </c>
      <c r="G27" s="3076" t="s">
        <v>3136</v>
      </c>
      <c r="H27" s="3076" t="s">
        <v>3165</v>
      </c>
      <c r="I27" s="3076" t="s">
        <v>3232</v>
      </c>
      <c r="J27" s="3076" t="s">
        <v>3232</v>
      </c>
      <c r="K27" s="3076">
        <v>237500</v>
      </c>
      <c r="L27" s="3076">
        <v>242500</v>
      </c>
      <c r="M27" s="3076">
        <v>27937.79</v>
      </c>
      <c r="N27" s="3076">
        <v>2.11</v>
      </c>
      <c r="O27" s="3076" t="s">
        <v>3233</v>
      </c>
      <c r="P27" s="3076" t="s">
        <v>3160</v>
      </c>
    </row>
    <row r="28" spans="1:16" ht="72">
      <c r="A28" s="3076" t="s">
        <v>3234</v>
      </c>
      <c r="B28" s="3076" t="s">
        <v>3062</v>
      </c>
      <c r="C28" s="3076" t="s">
        <v>3134</v>
      </c>
      <c r="D28" s="3076">
        <v>16863.939999999999</v>
      </c>
      <c r="E28" s="3076">
        <v>87923.61</v>
      </c>
      <c r="F28" s="3076">
        <v>5.2137000000000002</v>
      </c>
      <c r="G28" s="3076" t="s">
        <v>3136</v>
      </c>
      <c r="H28" s="3076" t="s">
        <v>3165</v>
      </c>
      <c r="I28" s="3076" t="s">
        <v>3235</v>
      </c>
      <c r="J28" s="3076" t="s">
        <v>3235</v>
      </c>
      <c r="K28" s="3076">
        <v>211000</v>
      </c>
      <c r="L28" s="3076">
        <v>211000</v>
      </c>
      <c r="M28" s="3076">
        <v>23998.09</v>
      </c>
      <c r="N28" s="3076">
        <v>0</v>
      </c>
      <c r="O28" s="3076" t="s">
        <v>3236</v>
      </c>
      <c r="P28" s="3076" t="s">
        <v>3160</v>
      </c>
    </row>
    <row r="29" spans="1:16" ht="36">
      <c r="A29" s="3076" t="s">
        <v>3237</v>
      </c>
      <c r="B29" s="3076" t="s">
        <v>3062</v>
      </c>
      <c r="C29" s="3076" t="s">
        <v>3134</v>
      </c>
      <c r="D29" s="3076">
        <v>14089.17</v>
      </c>
      <c r="E29" s="3076">
        <v>105000</v>
      </c>
      <c r="F29" s="3076">
        <v>7.4525300000000003</v>
      </c>
      <c r="G29" s="3076" t="s">
        <v>3136</v>
      </c>
      <c r="H29" s="3076" t="s">
        <v>3165</v>
      </c>
      <c r="I29" s="3076" t="s">
        <v>3235</v>
      </c>
      <c r="J29" s="3076" t="s">
        <v>3235</v>
      </c>
      <c r="K29" s="3076">
        <v>252000</v>
      </c>
      <c r="L29" s="3076">
        <v>355000</v>
      </c>
      <c r="M29" s="3076">
        <v>33809.51</v>
      </c>
      <c r="N29" s="3076">
        <v>40.869999999999997</v>
      </c>
      <c r="O29" s="3076" t="s">
        <v>3238</v>
      </c>
      <c r="P29" s="3076" t="s">
        <v>3160</v>
      </c>
    </row>
    <row r="31" spans="1:16">
      <c r="A31" s="3078"/>
      <c r="B31" s="3079" t="s">
        <v>3239</v>
      </c>
      <c r="C31" s="3079" t="s">
        <v>3240</v>
      </c>
      <c r="D31" s="3078"/>
      <c r="E31" s="3074"/>
      <c r="F31" s="3074"/>
      <c r="G31" s="3074"/>
      <c r="H31" s="3074"/>
      <c r="I31" s="3074"/>
      <c r="J31" s="3074"/>
      <c r="K31" s="3074"/>
      <c r="L31" s="3074"/>
      <c r="M31" s="3074"/>
      <c r="N31" s="3074"/>
      <c r="O31" s="3074"/>
      <c r="P31" s="3074"/>
    </row>
    <row r="32" spans="1:16">
      <c r="A32" s="3079" t="s">
        <v>3241</v>
      </c>
      <c r="B32" s="3078">
        <v>9900</v>
      </c>
      <c r="C32" s="3078">
        <v>7720</v>
      </c>
      <c r="D32" s="3078">
        <v>0.28238341968911906</v>
      </c>
      <c r="E32" s="3074"/>
      <c r="F32" s="3074"/>
      <c r="G32" s="3074"/>
      <c r="H32" s="3074"/>
      <c r="I32" s="3074"/>
      <c r="J32" s="3074"/>
      <c r="K32" s="3074"/>
      <c r="L32" s="3074"/>
      <c r="M32" s="3074"/>
      <c r="N32" s="3074"/>
      <c r="O32" s="3074"/>
      <c r="P32" s="3074"/>
    </row>
    <row r="34" spans="11:11">
      <c r="K34" s="3075">
        <v>3.1050228310502281</v>
      </c>
    </row>
  </sheetData>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4" zoomScale="90" zoomScaleNormal="80" zoomScaleSheetLayoutView="90" workbookViewId="0">
      <selection activeCell="C20" sqref="C20"/>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2625</v>
      </c>
      <c r="B1" s="203"/>
      <c r="C1" s="207" t="s">
        <v>2626</v>
      </c>
      <c r="D1" s="348">
        <f>SUM(D29:D30,D33:D39)</f>
        <v>39425.990000000005</v>
      </c>
      <c r="E1" s="2180"/>
      <c r="F1" s="2180"/>
      <c r="G1" s="2180"/>
      <c r="H1" s="2180"/>
      <c r="I1" s="2180"/>
      <c r="J1" s="2180"/>
      <c r="K1" s="1280"/>
      <c r="L1" s="2181" t="s">
        <v>2627</v>
      </c>
      <c r="M1" s="994">
        <f>SUMPRODUCT((区片价!B5:B9=I2)*(区片价!C3:F3=E2)*(区片价!C5:F9))</f>
        <v>0</v>
      </c>
      <c r="N1" s="997">
        <f>SUMPRODUCT((因素修正幅度!B5:B9=I2)*(因素修正幅度!C3:F3=E2)*(因素修正幅度!C5:F9))</f>
        <v>0</v>
      </c>
      <c r="O1" s="2182"/>
      <c r="P1" s="2182"/>
      <c r="Q1" s="1280"/>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25863</v>
      </c>
      <c r="C2" s="2184" t="s">
        <v>2634</v>
      </c>
      <c r="D2" s="2185" t="s">
        <v>2635</v>
      </c>
      <c r="E2" s="2186" t="s">
        <v>27</v>
      </c>
      <c r="F2" s="2185" t="s">
        <v>2636</v>
      </c>
      <c r="G2" s="2187" t="str">
        <f>IF(E2="商业",项目基本情况!B37,IF(E2="办公",项目基本情况!C37,IF(E2="住宅",项目基本情况!D37,项目基本情况!E37)))</f>
        <v>七级</v>
      </c>
      <c r="H2" s="2185" t="s">
        <v>2637</v>
      </c>
      <c r="I2" s="2187" t="str">
        <f>IF(E2="商业",项目基本情况!B38,IF(E2="办公",项目基本情况!C38,IF(E2="住宅",项目基本情况!D38,项目基本情况!E38)))</f>
        <v>Ⅶ-门1</v>
      </c>
      <c r="J2" s="2188"/>
      <c r="K2" s="1280"/>
      <c r="L2" s="2189" t="s">
        <v>2638</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1.8629</v>
      </c>
      <c r="T2" s="1373">
        <f>ROUND($C$5*$C$18*$C$19*$C$20*S2*$C$24,0)</f>
        <v>16528</v>
      </c>
      <c r="U2" s="1374"/>
      <c r="V2" s="1373">
        <f>ROUND(T2*U2/10000,0)</f>
        <v>0</v>
      </c>
      <c r="W2" s="1377"/>
      <c r="X2" s="1377"/>
      <c r="Y2" s="1377"/>
      <c r="Z2" s="1377"/>
      <c r="AA2" s="1377"/>
      <c r="AB2" s="1377"/>
      <c r="AC2" s="1378"/>
      <c r="AD2" s="1379"/>
      <c r="AE2" s="1379"/>
      <c r="AF2" s="1379"/>
      <c r="AG2" s="1379"/>
      <c r="AH2" s="1379"/>
      <c r="AI2" s="1379"/>
      <c r="AJ2" s="1380"/>
    </row>
    <row r="3" spans="1:36" ht="15.75">
      <c r="A3" s="209" t="s">
        <v>2639</v>
      </c>
      <c r="B3" s="210">
        <f>ROUND(B2*10000/D1,0)</f>
        <v>6560</v>
      </c>
      <c r="C3" s="2184" t="s">
        <v>2640</v>
      </c>
      <c r="D3" s="2185" t="s">
        <v>2641</v>
      </c>
      <c r="E3" s="2190" t="s">
        <v>3101</v>
      </c>
      <c r="F3" s="2191" t="s">
        <v>3116</v>
      </c>
      <c r="G3" s="855">
        <f>IF(F3="宗地容积率",'数据-汇总表'!I4,IF(F3="估价对象容积率",'数据-汇总表'!I6,'数据-汇总表'!I7))</f>
        <v>4.1900000000000004</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1.3371999999999999</v>
      </c>
      <c r="T3" s="1373">
        <f t="shared" ref="T3:T16" si="0">ROUND($C$5*$C$18*$C$19*$C$20*S3*$C$24,0)</f>
        <v>11864</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38"/>
      <c r="B4" s="3339"/>
      <c r="C4" s="3339"/>
      <c r="D4" s="3340"/>
      <c r="E4" s="3340"/>
      <c r="F4" s="3340"/>
      <c r="G4" s="3340"/>
      <c r="H4" s="3340"/>
      <c r="I4" s="3340"/>
      <c r="J4" s="3341"/>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1.0788</v>
      </c>
      <c r="T4" s="1373">
        <f t="shared" si="0"/>
        <v>9571</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f>ROUND(IF(E2="商业",C6*C7+C16,(IF(E2="住宅",C6*C12+C16,C6+C16))),0)</f>
        <v>7704</v>
      </c>
      <c r="D5" s="1522">
        <f>ROUND(C6+C16,0)</f>
        <v>7704</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0.86560000000000004</v>
      </c>
      <c r="T5" s="1373">
        <f t="shared" si="0"/>
        <v>7680</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7720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0.73709999999999998</v>
      </c>
      <c r="T6" s="1373">
        <f t="shared" si="0"/>
        <v>6540</v>
      </c>
      <c r="U6" s="1374"/>
      <c r="V6" s="1373">
        <f t="shared" si="1"/>
        <v>0</v>
      </c>
      <c r="W6" s="1377"/>
      <c r="X6" s="1377"/>
      <c r="Y6" s="1377"/>
      <c r="Z6" s="1377"/>
      <c r="AA6" s="1377"/>
      <c r="AB6" s="1377"/>
      <c r="AC6" s="2198"/>
      <c r="AD6" s="2199"/>
      <c r="AE6" s="2199"/>
      <c r="AF6" s="2199"/>
      <c r="AG6" s="2199"/>
      <c r="AH6" s="2199"/>
      <c r="AI6" s="2199"/>
      <c r="AJ6" s="2200"/>
    </row>
    <row r="7" spans="1:36" ht="24">
      <c r="A7" s="3342" t="str">
        <f>IF(E2="商业",IF(C8="不临58条商业街","",2),"")</f>
        <v/>
      </c>
      <c r="B7" s="2208" t="s">
        <v>2652</v>
      </c>
      <c r="C7" s="858">
        <f>IF(C8="不临58条商业街",1,ROUND(1+(1.6*E8+1.2*E9+0.8*E10+0.4*E11)*C9,4))</f>
        <v>1</v>
      </c>
      <c r="D7" s="2209" t="s">
        <v>2653</v>
      </c>
      <c r="E7" s="882"/>
      <c r="F7" s="2210"/>
      <c r="G7" s="2211"/>
      <c r="H7" s="2211"/>
      <c r="I7" s="2211"/>
      <c r="J7" s="2212"/>
      <c r="K7" s="1567"/>
      <c r="L7" s="2189" t="s">
        <v>2654</v>
      </c>
      <c r="M7" s="995">
        <f>SUMPRODUCT((区片价!B158:B205=I2)*(区片价!C3:F3=E2)*(区片价!C158:F205))</f>
        <v>7720</v>
      </c>
      <c r="N7" s="997">
        <f>SUMPRODUCT((因素修正幅度!B158:B205=I2)*(因素修正幅度!C3:F3=E2)*(因素修正幅度!C158:F205))</f>
        <v>0.126</v>
      </c>
      <c r="O7" s="1280"/>
      <c r="P7" s="1280"/>
      <c r="Q7" s="1280"/>
      <c r="R7" s="1373">
        <v>6</v>
      </c>
      <c r="S7" s="1373">
        <f>ROUND(IF(G3&gt;1,IF(R7&lt;7,SUMPRODUCT((B93:B98=R7)*(C92:N92=G2)*(C93:N98)),SUMIF(C92:N92,G2,C100:N100)),IF(R7&lt;7,SUMPRODUCT((B102:B107=R7)*(C92:N92=G2)*(C102:N107)),SUMIF(C92:N92,G2,C109:N109))),4)</f>
        <v>0.6482</v>
      </c>
      <c r="T7" s="1373">
        <f t="shared" si="0"/>
        <v>5751</v>
      </c>
      <c r="U7" s="1374"/>
      <c r="V7" s="1373">
        <f t="shared" si="1"/>
        <v>0</v>
      </c>
      <c r="W7" s="1541" t="s">
        <v>2655</v>
      </c>
      <c r="X7" s="1375" t="str">
        <f>G2</f>
        <v>七级</v>
      </c>
      <c r="Y7" s="1375" t="s">
        <v>2656</v>
      </c>
      <c r="Z7" s="1376">
        <f>G3</f>
        <v>4.1900000000000004</v>
      </c>
      <c r="AA7" s="1377"/>
      <c r="AB7" s="1377"/>
      <c r="AC7" s="1378"/>
      <c r="AD7" s="1379"/>
      <c r="AE7" s="1379"/>
      <c r="AF7" s="1379"/>
      <c r="AG7" s="1379"/>
      <c r="AH7" s="1379"/>
      <c r="AI7" s="1379"/>
      <c r="AJ7" s="1380"/>
    </row>
    <row r="8" spans="1:36" ht="25.5">
      <c r="A8" s="3343"/>
      <c r="B8" s="175" t="s">
        <v>2657</v>
      </c>
      <c r="C8" s="2213" t="s">
        <v>3102</v>
      </c>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si="0"/>
        <v>0</v>
      </c>
      <c r="U8" s="1374"/>
      <c r="V8" s="1373">
        <f t="shared" si="1"/>
        <v>0</v>
      </c>
      <c r="W8" s="3335" t="s">
        <v>2660</v>
      </c>
      <c r="X8" s="3336"/>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43"/>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si="0"/>
        <v>0</v>
      </c>
      <c r="U9" s="1374"/>
      <c r="V9" s="1373">
        <f t="shared" si="1"/>
        <v>0</v>
      </c>
      <c r="W9" s="3337"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43"/>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si="0"/>
        <v>0</v>
      </c>
      <c r="U10" s="1374"/>
      <c r="V10" s="1373">
        <f t="shared" si="1"/>
        <v>0</v>
      </c>
      <c r="W10" s="333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43"/>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si="0"/>
        <v>0</v>
      </c>
      <c r="U11" s="1374"/>
      <c r="V11" s="1373">
        <f t="shared" si="1"/>
        <v>0</v>
      </c>
      <c r="W11" s="3337" t="s">
        <v>2684</v>
      </c>
      <c r="X11" s="1385" t="s">
        <v>2685</v>
      </c>
      <c r="Y11" s="1386">
        <f>$G$3</f>
        <v>4.1900000000000004</v>
      </c>
      <c r="Z11" s="1386">
        <f t="shared" ref="Z11:AJ11" si="3">$G$3</f>
        <v>4.1900000000000004</v>
      </c>
      <c r="AA11" s="1386">
        <f t="shared" si="3"/>
        <v>4.1900000000000004</v>
      </c>
      <c r="AB11" s="1386">
        <f t="shared" si="3"/>
        <v>4.1900000000000004</v>
      </c>
      <c r="AC11" s="1386">
        <f t="shared" si="3"/>
        <v>4.1900000000000004</v>
      </c>
      <c r="AD11" s="1386">
        <f t="shared" si="3"/>
        <v>4.1900000000000004</v>
      </c>
      <c r="AE11" s="1386">
        <f t="shared" si="3"/>
        <v>4.1900000000000004</v>
      </c>
      <c r="AF11" s="1386">
        <f t="shared" si="3"/>
        <v>4.1900000000000004</v>
      </c>
      <c r="AG11" s="1386">
        <f t="shared" si="3"/>
        <v>4.1900000000000004</v>
      </c>
      <c r="AH11" s="1386">
        <f t="shared" si="3"/>
        <v>4.1900000000000004</v>
      </c>
      <c r="AI11" s="1386">
        <f t="shared" si="3"/>
        <v>4.1900000000000004</v>
      </c>
      <c r="AJ11" s="1386">
        <f t="shared" si="3"/>
        <v>4.1900000000000004</v>
      </c>
    </row>
    <row r="12" spans="1:36" ht="25.5" thickBot="1">
      <c r="A12" s="3342"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si="0"/>
        <v>0</v>
      </c>
      <c r="U12" s="1374"/>
      <c r="V12" s="1373">
        <f t="shared" si="1"/>
        <v>0</v>
      </c>
      <c r="W12" s="3337"/>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44"/>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f t="shared" si="0"/>
        <v>0</v>
      </c>
      <c r="U13" s="1374"/>
      <c r="V13" s="1373">
        <f t="shared" si="1"/>
        <v>0</v>
      </c>
      <c r="W13" s="3337"/>
      <c r="X13" s="1387"/>
      <c r="Y13" s="1384">
        <f>(-0.163*(Y12^2)-0.59*Y12+7617)*(10^(-4))/Y11</f>
        <v>0.18178997613365155</v>
      </c>
      <c r="Z13" s="1384">
        <f t="shared" ref="Z13:AJ13" si="5">(-0.163*(Z12^2)-0.59*Z12+7617)*(10^(-4))/Z11</f>
        <v>0.18178997613365155</v>
      </c>
      <c r="AA13" s="1384">
        <f t="shared" si="5"/>
        <v>0.18178997613365155</v>
      </c>
      <c r="AB13" s="1384">
        <f t="shared" si="5"/>
        <v>0.18178997613365155</v>
      </c>
      <c r="AC13" s="1384">
        <f t="shared" si="5"/>
        <v>0.18178997613365155</v>
      </c>
      <c r="AD13" s="1384">
        <f t="shared" si="5"/>
        <v>0.18178997613365155</v>
      </c>
      <c r="AE13" s="1384">
        <f t="shared" si="5"/>
        <v>0.18178997613365155</v>
      </c>
      <c r="AF13" s="1384">
        <f t="shared" si="5"/>
        <v>0.18178997613365155</v>
      </c>
      <c r="AG13" s="1384">
        <f t="shared" si="5"/>
        <v>0.18178997613365155</v>
      </c>
      <c r="AH13" s="1384">
        <f t="shared" si="5"/>
        <v>0.18178997613365155</v>
      </c>
      <c r="AI13" s="1384">
        <f t="shared" si="5"/>
        <v>0.18178997613365155</v>
      </c>
      <c r="AJ13" s="1384">
        <f t="shared" si="5"/>
        <v>0.18178997613365155</v>
      </c>
    </row>
    <row r="14" spans="1:36" ht="15">
      <c r="A14" s="3344"/>
      <c r="B14" s="2231"/>
      <c r="C14" s="2232"/>
      <c r="D14" s="2233"/>
      <c r="E14" s="2233"/>
      <c r="F14" s="2234"/>
      <c r="G14" s="2235" t="s">
        <v>2697</v>
      </c>
      <c r="H14" s="2236"/>
      <c r="I14" s="2237"/>
      <c r="J14" s="2238"/>
      <c r="K14" s="1280"/>
      <c r="L14" s="1280"/>
      <c r="M14" s="1280"/>
      <c r="N14" s="1280"/>
      <c r="O14" s="1280"/>
      <c r="P14" s="1280"/>
      <c r="Q14" s="1280"/>
      <c r="R14" s="1373">
        <v>13</v>
      </c>
      <c r="S14" s="1374"/>
      <c r="T14" s="1373">
        <f t="shared" si="0"/>
        <v>0</v>
      </c>
      <c r="U14" s="1374"/>
      <c r="V14" s="1373">
        <f t="shared" si="1"/>
        <v>0</v>
      </c>
      <c r="W14" s="1377"/>
      <c r="X14" s="1377"/>
      <c r="Y14" s="1377"/>
      <c r="Z14" s="1377"/>
      <c r="AA14" s="1377"/>
      <c r="AB14" s="1377"/>
      <c r="AC14" s="1378"/>
      <c r="AD14" s="3016"/>
      <c r="AE14" s="3016"/>
      <c r="AF14" s="3016"/>
      <c r="AG14" s="3016"/>
      <c r="AH14" s="3016"/>
      <c r="AI14" s="3016"/>
      <c r="AJ14" s="3017"/>
    </row>
    <row r="15" spans="1:36" ht="15.75" thickBot="1">
      <c r="A15" s="3345"/>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f t="shared" si="0"/>
        <v>0</v>
      </c>
      <c r="U15" s="1374"/>
      <c r="V15" s="1373">
        <f t="shared" si="1"/>
        <v>0</v>
      </c>
      <c r="W15" s="1377"/>
      <c r="X15" s="1377"/>
      <c r="Y15" s="1377"/>
      <c r="Z15" s="1377"/>
      <c r="AA15" s="1377"/>
      <c r="AB15" s="1377"/>
      <c r="AC15" s="1378"/>
      <c r="AD15" s="3016"/>
      <c r="AE15" s="3016"/>
      <c r="AF15" s="3016"/>
      <c r="AG15" s="3016"/>
      <c r="AH15" s="3016"/>
      <c r="AI15" s="3016"/>
      <c r="AJ15" s="3017"/>
    </row>
    <row r="16" spans="1:36" ht="24.6" customHeight="1">
      <c r="A16" s="3342" t="s">
        <v>2703</v>
      </c>
      <c r="B16" s="2208" t="s">
        <v>2704</v>
      </c>
      <c r="C16" s="2370">
        <f>ROUND(IF(F17="与级别开发程度一致",0,(G17-E17)/C17),0)</f>
        <v>-16</v>
      </c>
      <c r="D16" s="3358" t="s">
        <v>2708</v>
      </c>
      <c r="E16" s="3359"/>
      <c r="F16" s="3358" t="s">
        <v>2705</v>
      </c>
      <c r="G16" s="3359"/>
      <c r="H16" s="2240" t="s">
        <v>3104</v>
      </c>
      <c r="I16" s="2240" t="s">
        <v>3105</v>
      </c>
      <c r="J16" s="2374" t="s">
        <v>3106</v>
      </c>
      <c r="K16" s="2240" t="s">
        <v>3107</v>
      </c>
      <c r="L16" s="2240" t="s">
        <v>3108</v>
      </c>
      <c r="M16" s="2240" t="s">
        <v>3109</v>
      </c>
      <c r="N16" s="2240" t="s">
        <v>3110</v>
      </c>
      <c r="O16" s="2241"/>
      <c r="P16" s="2182"/>
      <c r="Q16" s="1280"/>
      <c r="R16" s="1373">
        <v>15</v>
      </c>
      <c r="S16" s="1374"/>
      <c r="T16" s="1373">
        <f t="shared" si="0"/>
        <v>0</v>
      </c>
      <c r="U16" s="1374"/>
      <c r="V16" s="1373">
        <f t="shared" si="1"/>
        <v>0</v>
      </c>
      <c r="W16" s="1377"/>
      <c r="X16" s="1377"/>
      <c r="Y16" s="1377"/>
      <c r="Z16" s="1377"/>
      <c r="AA16" s="1377"/>
      <c r="AB16" s="1377"/>
      <c r="AC16" s="1378"/>
      <c r="AD16" s="3016"/>
      <c r="AE16" s="3016"/>
      <c r="AF16" s="3016"/>
      <c r="AG16" s="3016"/>
      <c r="AH16" s="3016"/>
      <c r="AI16" s="3016"/>
      <c r="AJ16" s="3017"/>
    </row>
    <row r="17" spans="1:37" ht="26.25" thickBot="1">
      <c r="A17" s="3346"/>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3103</v>
      </c>
      <c r="G17" s="2373">
        <f>SUM(H17:O17)</f>
        <v>260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15</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0.9</v>
      </c>
      <c r="D18" s="2378"/>
      <c r="E18" s="2379"/>
      <c r="F18" s="2379"/>
      <c r="G18" s="2379"/>
      <c r="H18" s="2379"/>
      <c r="I18" s="2379"/>
      <c r="J18" s="2380"/>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5"/>
    </row>
    <row r="19" spans="1:37" s="2201" customFormat="1" ht="27.75" thickBot="1">
      <c r="A19" s="2245" t="s">
        <v>809</v>
      </c>
      <c r="B19" s="2246" t="s">
        <v>2711</v>
      </c>
      <c r="C19" s="863">
        <f>ROUND(IF(H19="按公示增长率计算",SUMPRODUCT((地价!A3:A36=YEAR(G19)&amp;"-"&amp;ROUNDUP(MONTH(G19)/3,0))*(地价!X2:AB2=E2)*(地价!X3:AB36)),IF(H19="地价指数",M20/M19,(1+I19)^O19)),4)</f>
        <v>1.3643000000000001</v>
      </c>
      <c r="D19" s="2250" t="s">
        <v>2712</v>
      </c>
      <c r="E19" s="864">
        <v>41640</v>
      </c>
      <c r="F19" s="2250" t="s">
        <v>2713</v>
      </c>
      <c r="G19" s="865">
        <f>'数据-取费表'!B2</f>
        <v>44515</v>
      </c>
      <c r="H19" s="2251" t="s">
        <v>3111</v>
      </c>
      <c r="I19" s="866" t="str">
        <f>IF(H19="季度增幅（自定义）",SUMIF(N21:N24,E2,O21:O24),"")</f>
        <v/>
      </c>
      <c r="J19" s="2248"/>
      <c r="K19" s="1287"/>
      <c r="L19" s="2252" t="s">
        <v>2714</v>
      </c>
      <c r="M19" s="1495">
        <f>ROUND(SUMIF(地价!B2:F2,E2,地价!B36:F36),0)</f>
        <v>258</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18"/>
      <c r="AH19" s="2339"/>
      <c r="AI19" s="3019"/>
      <c r="AJ19" s="3019"/>
      <c r="AK19" s="2254"/>
    </row>
    <row r="20" spans="1:37" s="2201" customFormat="1" ht="27.75" thickBot="1">
      <c r="A20" s="2255" t="s">
        <v>810</v>
      </c>
      <c r="B20" s="2256" t="s">
        <v>2716</v>
      </c>
      <c r="C20" s="868">
        <f>ROUND(POWER(1+G20,J20-I20)*(POWER(1+G20,I20)-1)/(POWER(1+G20,J20)-1),4)</f>
        <v>0.89480000000000004</v>
      </c>
      <c r="D20" s="2257" t="s">
        <v>2717</v>
      </c>
      <c r="E20" s="1504">
        <f>存贷款利率!E18/100</f>
        <v>4.3499999999999997E-2</v>
      </c>
      <c r="F20" s="2257" t="s">
        <v>2709</v>
      </c>
      <c r="G20" s="873">
        <f>SUMIF(M26:P26,E2,M28:P28)</f>
        <v>5.1999999999999998E-2</v>
      </c>
      <c r="H20" s="2257" t="s">
        <v>2718</v>
      </c>
      <c r="I20" s="874">
        <f>SUMIF('数据-取费表'!C6:C15,E2,'数据-取费表'!F6:F15)/COUNTIF('数据-取费表'!C6:C15,E2)</f>
        <v>34.25</v>
      </c>
      <c r="J20" s="875">
        <f>IF(E2="住宅",70,IF(E2="商业",40,50))</f>
        <v>50</v>
      </c>
      <c r="K20" s="1287"/>
      <c r="L20" s="2258" t="s">
        <v>2719</v>
      </c>
      <c r="M20" s="1496">
        <f>ROUND(SUMPRODUCT((地价!A4:A36=YEAR(G19)&amp;"-"&amp;ROUNDUP(MONTH(G19)/3,0))*(地价!B2:F2=E2)*(地价!B4:F36)),0)</f>
        <v>352</v>
      </c>
      <c r="N20" s="2259" t="s">
        <v>2720</v>
      </c>
      <c r="O20" s="2260" t="s">
        <v>2721</v>
      </c>
      <c r="P20" s="2261" t="s">
        <v>2722</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1" customFormat="1" ht="15">
      <c r="A21" s="2262" t="s">
        <v>811</v>
      </c>
      <c r="B21" s="2263" t="s">
        <v>3112</v>
      </c>
      <c r="C21" s="876">
        <f>IF(B21="容积率修正",IF(G3&lt;=10,D22,J22),C23)</f>
        <v>0.85519999999999996</v>
      </c>
      <c r="D21" s="2264"/>
      <c r="E21" s="2264"/>
      <c r="F21" s="2264"/>
      <c r="G21" s="2264"/>
      <c r="H21" s="2264"/>
      <c r="I21" s="2264"/>
      <c r="J21" s="2265"/>
      <c r="K21" s="1287"/>
      <c r="L21" s="3015"/>
      <c r="M21" s="3015"/>
      <c r="N21" s="2266" t="s">
        <v>2723</v>
      </c>
      <c r="O21" s="1335"/>
      <c r="P21" s="1336">
        <f>SUMPRODUCT((地价!A3:A36=YEAR(G19)&amp;"-"&amp;ROUNDUP(MONTH(G19)/3,0))*(地价!AD2:AH2=N21)*(地价!AD3:AH36))</f>
        <v>1.0500000000000001E-2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1" customFormat="1" ht="14.25">
      <c r="A22" s="2140" t="s">
        <v>2724</v>
      </c>
      <c r="B22" s="2267" t="s">
        <v>2725</v>
      </c>
      <c r="C22" s="1535" t="s">
        <v>2726</v>
      </c>
      <c r="D22" s="1535">
        <f>IF(E22=G22,F22,IF(G3&lt;=10,ROUND(F22+(H22-F22)*(G3-E22)/(G22-E22),4),"——"))</f>
        <v>0.85519999999999996</v>
      </c>
      <c r="E22" s="855">
        <f>ROUNDDOWN(G3,1)</f>
        <v>4.0999999999999996</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855">
        <f>ROUNDUP(G3,1)</f>
        <v>4.1999999999999993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535" t="s">
        <v>155</v>
      </c>
      <c r="J22" s="877" t="str">
        <f>IF(G3&gt;10,D113,"——")</f>
        <v>——</v>
      </c>
      <c r="K22" s="1287"/>
      <c r="L22" s="3015"/>
      <c r="M22" s="3015"/>
      <c r="N22" s="2266" t="s">
        <v>2727</v>
      </c>
      <c r="O22" s="1335"/>
      <c r="P22" s="1336">
        <f>SUMPRODUCT((地价!A3:A36=YEAR(G19)&amp;"-"&amp;ROUNDUP(MONTH(G19)/3,0))*(地价!AD2:AH2=N22)*(地价!AD3:AH36))</f>
        <v>1.0500000000000001E-2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1.0482</v>
      </c>
      <c r="D24" s="2247"/>
      <c r="E24" s="2274"/>
      <c r="F24" s="2274"/>
      <c r="G24" s="2274"/>
      <c r="H24" s="2274"/>
      <c r="I24" s="2274"/>
      <c r="J24" s="2275"/>
      <c r="K24" s="1287"/>
      <c r="L24" s="3015"/>
      <c r="M24" s="3015"/>
      <c r="N24" s="2276" t="s">
        <v>2732</v>
      </c>
      <c r="O24" s="1337"/>
      <c r="P24" s="1338">
        <f>SUMPRODUCT((地价!A3:A36=YEAR(G19)&amp;"-"&amp;ROUNDUP(MONTH(G19)/3,0))*(地价!AD2:AH2=N24)*(地价!AD3:AH36))</f>
        <v>1.2200000000000001E-2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5" t="s">
        <v>813</v>
      </c>
      <c r="B25" s="2277" t="s">
        <v>2733</v>
      </c>
      <c r="C25" s="869"/>
      <c r="D25" s="2211"/>
      <c r="E25" s="2211"/>
      <c r="F25" s="2278"/>
      <c r="G25" s="2211"/>
      <c r="H25" s="2211"/>
      <c r="I25" s="2211"/>
      <c r="J25" s="2212"/>
      <c r="K25" s="1280"/>
      <c r="L25" s="2182"/>
      <c r="M25" s="2182"/>
      <c r="N25" s="3010" t="s">
        <v>2734</v>
      </c>
      <c r="O25" s="3011"/>
      <c r="P25" s="3012">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25863</v>
      </c>
      <c r="D26" s="2280"/>
      <c r="E26" s="2236"/>
      <c r="F26" s="2281"/>
      <c r="G26" s="2236"/>
      <c r="H26" s="2236"/>
      <c r="I26" s="2236"/>
      <c r="J26" s="2282"/>
      <c r="K26" s="1280"/>
      <c r="L26" s="3013" t="s">
        <v>2635</v>
      </c>
      <c r="M26" s="2209" t="s">
        <v>2699</v>
      </c>
      <c r="N26" s="2209" t="s">
        <v>2700</v>
      </c>
      <c r="O26" s="2209" t="s">
        <v>2701</v>
      </c>
      <c r="P26" s="3014"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356</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7588</v>
      </c>
      <c r="D29" s="2295">
        <f>'数据-汇总表'!F19</f>
        <v>32206.960000000006</v>
      </c>
      <c r="E29" s="879">
        <f>ROUND(C29*D29/10000,0)</f>
        <v>24439</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1897</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55"/>
      <c r="B33" s="2311" t="s">
        <v>2749</v>
      </c>
      <c r="C33" s="180">
        <f>ROUND(D5*C19*C20*C24*F33,0)</f>
        <v>6901</v>
      </c>
      <c r="D33" s="2295"/>
      <c r="E33" s="176">
        <f>ROUND(C33*D33/10000,0)</f>
        <v>0</v>
      </c>
      <c r="F33" s="176">
        <f>SUMIF(修正!A45:A56,G2,修正!B45:B56)</f>
        <v>0.7</v>
      </c>
      <c r="G33" s="176">
        <f t="shared" ref="G33" si="6">ROUND(IF(E2="工业",C33*$M$39,C33*$M$38),0)</f>
        <v>1725</v>
      </c>
      <c r="H33" s="176">
        <f>D33</f>
        <v>0</v>
      </c>
      <c r="I33" s="176">
        <f>ROUND(G33*H33/10000,0)</f>
        <v>0</v>
      </c>
      <c r="J33" s="3360"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56"/>
      <c r="B34" s="2228" t="s">
        <v>2750</v>
      </c>
      <c r="C34" s="180">
        <f>ROUND(D5*C19*C20*C24*F34,0)</f>
        <v>3943</v>
      </c>
      <c r="D34" s="2295"/>
      <c r="E34" s="176">
        <f t="shared" ref="E34:E39" si="7">ROUND(C34*D34/10000,0)</f>
        <v>0</v>
      </c>
      <c r="F34" s="176">
        <f>SUMIF(修正!A45:A56,G2,修正!C45:C56)</f>
        <v>0.4</v>
      </c>
      <c r="G34" s="176">
        <f>ROUND(IF(E2="工业",C34*$M$39,C34*$M$38),0)</f>
        <v>986</v>
      </c>
      <c r="H34" s="176">
        <f t="shared" ref="H34:H39" si="8">D34</f>
        <v>0</v>
      </c>
      <c r="I34" s="176">
        <f t="shared" ref="I34:I39" si="9">ROUND(G34*H34/10000,0)</f>
        <v>0</v>
      </c>
      <c r="J34" s="335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56"/>
      <c r="B35" s="2228" t="s">
        <v>2751</v>
      </c>
      <c r="C35" s="180">
        <f>ROUND(D5*C19*C20*C24*F35,0)</f>
        <v>2760</v>
      </c>
      <c r="D35" s="2295"/>
      <c r="E35" s="176">
        <f t="shared" si="7"/>
        <v>0</v>
      </c>
      <c r="F35" s="176">
        <f>SUMIF(修正!A45:A56,G2,修正!D45:D56)</f>
        <v>0.28000000000000003</v>
      </c>
      <c r="G35" s="176">
        <f>ROUND(IF(E2="工业",C35*$M$39,C35*$M$38),0)</f>
        <v>690</v>
      </c>
      <c r="H35" s="176">
        <f t="shared" si="8"/>
        <v>0</v>
      </c>
      <c r="I35" s="176">
        <f t="shared" si="9"/>
        <v>0</v>
      </c>
      <c r="J35" s="335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57"/>
      <c r="B36" s="2228" t="s">
        <v>2752</v>
      </c>
      <c r="C36" s="180">
        <f>ROUND(D5*C19*C20*C24*F36,0)</f>
        <v>2465</v>
      </c>
      <c r="D36" s="2295"/>
      <c r="E36" s="176">
        <f t="shared" si="7"/>
        <v>0</v>
      </c>
      <c r="F36" s="176">
        <f>SUMIF(修正!A45:A56,G2,修正!E45:E56)</f>
        <v>0.25</v>
      </c>
      <c r="G36" s="176">
        <f>ROUND(IF(E2="工业",C36*$M$39,C36*$M$38),0)</f>
        <v>616</v>
      </c>
      <c r="H36" s="176">
        <f t="shared" si="8"/>
        <v>0</v>
      </c>
      <c r="I36" s="176">
        <f t="shared" si="9"/>
        <v>0</v>
      </c>
      <c r="J36" s="3357"/>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2465</v>
      </c>
      <c r="D37" s="2295"/>
      <c r="E37" s="176">
        <f t="shared" si="7"/>
        <v>0</v>
      </c>
      <c r="F37" s="180">
        <f>SUMIF(修正!A45:A56,G2,修正!F45:F56)</f>
        <v>0.25</v>
      </c>
      <c r="G37" s="176">
        <f>ROUND(IF(E2="工业",C37*$M$39,C37*$M$38),0)</f>
        <v>616</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2465</v>
      </c>
      <c r="D38" s="2295"/>
      <c r="E38" s="176">
        <f t="shared" si="7"/>
        <v>0</v>
      </c>
      <c r="F38" s="180">
        <f>SUMIF(修正!A45:A56,G2,修正!G45:G56)</f>
        <v>0.25</v>
      </c>
      <c r="G38" s="176">
        <f>ROUND(IF(E2="工业",C38*$M$39,C38*$M$38),0)</f>
        <v>616</v>
      </c>
      <c r="H38" s="176">
        <f t="shared" si="8"/>
        <v>0</v>
      </c>
      <c r="I38" s="176">
        <f t="shared" si="9"/>
        <v>0</v>
      </c>
      <c r="J38" s="2312"/>
      <c r="K38" s="1280"/>
      <c r="L38" s="1604"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1972</v>
      </c>
      <c r="D39" s="2301">
        <f>'数据-汇总表'!G20</f>
        <v>7219.03</v>
      </c>
      <c r="E39" s="193">
        <f t="shared" si="7"/>
        <v>1424</v>
      </c>
      <c r="F39" s="871">
        <f>SUMIF(修正!A45:A56,G2,修正!H45:H56)</f>
        <v>0.2</v>
      </c>
      <c r="G39" s="193">
        <f>ROUND(IF(E2="工业",C39*$M$39,C39*$M$38),0)</f>
        <v>493</v>
      </c>
      <c r="H39" s="193">
        <f t="shared" si="8"/>
        <v>7219.03</v>
      </c>
      <c r="I39" s="193">
        <f t="shared" si="9"/>
        <v>356</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E40" s="1280">
        <f>E39+E29</f>
        <v>25863</v>
      </c>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0.89480000000000004</v>
      </c>
      <c r="D41" s="176" t="s">
        <v>2709</v>
      </c>
      <c r="E41" s="2368">
        <f>G20</f>
        <v>5.1999999999999998E-2</v>
      </c>
      <c r="F41" s="176" t="s">
        <v>2718</v>
      </c>
      <c r="G41" s="189">
        <f>项目基本情况!G15</f>
        <v>34.25</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4" t="s">
        <v>2761</v>
      </c>
      <c r="C47" s="1534" t="s">
        <v>2762</v>
      </c>
      <c r="D47" s="1534" t="s">
        <v>2763</v>
      </c>
      <c r="E47" s="758" t="s">
        <v>2764</v>
      </c>
      <c r="F47" s="2329" t="s">
        <v>2765</v>
      </c>
      <c r="G47" s="1534" t="s">
        <v>754</v>
      </c>
      <c r="H47" s="2330" t="s">
        <v>2766</v>
      </c>
      <c r="I47" s="1534"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8" t="s">
        <v>2768</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2769</v>
      </c>
      <c r="B49" s="2332" t="str">
        <f>估价对象房地状况!C18</f>
        <v>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t="str">
        <f>估价对象房地状况!C24</f>
        <v>一般</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2776</v>
      </c>
      <c r="B54" s="1493" t="str">
        <f>估价对象房地状况!C21</f>
        <v>较好</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2777</v>
      </c>
      <c r="B55" s="2332" t="str">
        <f>估价对象房地状况!C22</f>
        <v>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2778</v>
      </c>
      <c r="B56" s="2337" t="str">
        <f>估价对象房地状况!C20</f>
        <v>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1.0482</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4"/>
      <c r="C58" s="1534" t="s">
        <v>2762</v>
      </c>
      <c r="D58" s="1534" t="s">
        <v>2763</v>
      </c>
      <c r="E58" s="758" t="s">
        <v>2764</v>
      </c>
      <c r="F58" s="2329" t="s">
        <v>2780</v>
      </c>
      <c r="G58" s="1534" t="s">
        <v>754</v>
      </c>
      <c r="H58" s="2330" t="s">
        <v>2766</v>
      </c>
      <c r="I58" s="1534"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8" t="s">
        <v>2781</v>
      </c>
      <c r="B59" s="2331" t="str">
        <f>估价对象房地状况!C17</f>
        <v>一般</v>
      </c>
      <c r="C59" s="2233" t="s">
        <v>3113</v>
      </c>
      <c r="D59" s="1196">
        <f t="shared" ref="D59:D67" si="15">SUMIF($J$58:$N$58,C59,J59:N59)</f>
        <v>0</v>
      </c>
      <c r="E59" s="760">
        <f>ROUND(SUM(D59:D67),4)</f>
        <v>4.82E-2</v>
      </c>
      <c r="F59" s="1999">
        <f>IF(E2="办公",SUMIF(L1:L12,G2,N1:N12),"——")</f>
        <v>0.126</v>
      </c>
      <c r="G59" s="1194">
        <f>H59</f>
        <v>1.5100000000000001E-2</v>
      </c>
      <c r="H59" s="1198">
        <f t="shared" ref="H59:H67" si="16">IFERROR(ROUNDDOWN($F$59*I59/2,4),"——")</f>
        <v>1.5100000000000001E-2</v>
      </c>
      <c r="I59" s="759">
        <v>0.24</v>
      </c>
      <c r="J59" s="1195">
        <f t="shared" ref="J59:J67" si="17">K59+$G59</f>
        <v>3.0200000000000001E-2</v>
      </c>
      <c r="K59" s="1195">
        <f t="shared" ref="K59:K67" si="18">$L59+$G59</f>
        <v>1.5100000000000001E-2</v>
      </c>
      <c r="L59" s="1195">
        <v>0</v>
      </c>
      <c r="M59" s="1195">
        <f t="shared" ref="M59:N67" si="19">L59-$G59</f>
        <v>-1.5100000000000001E-2</v>
      </c>
      <c r="N59" s="1195">
        <f t="shared" si="19"/>
        <v>-3.0200000000000001E-2</v>
      </c>
      <c r="AA59" s="1281"/>
      <c r="AB59" s="1281"/>
      <c r="AC59" s="1281"/>
      <c r="AD59" s="1281"/>
      <c r="AE59" s="1281"/>
      <c r="AF59" s="1281"/>
      <c r="AG59" s="1281"/>
      <c r="AH59" s="1281"/>
      <c r="AI59" s="1281"/>
      <c r="AJ59" s="1281"/>
      <c r="AK59" s="1281"/>
    </row>
    <row r="60" spans="1:37" s="1280" customFormat="1" ht="14.25">
      <c r="A60" s="2328" t="s">
        <v>2769</v>
      </c>
      <c r="B60" s="2332" t="str">
        <f>估价对象房地状况!C18</f>
        <v>较好</v>
      </c>
      <c r="C60" s="2233" t="s">
        <v>3114</v>
      </c>
      <c r="D60" s="1196">
        <f t="shared" si="15"/>
        <v>1.89E-2</v>
      </c>
      <c r="E60" s="761"/>
      <c r="F60" s="1999"/>
      <c r="G60" s="1194">
        <f t="shared" ref="G60:G67" si="20">H60</f>
        <v>1.89E-2</v>
      </c>
      <c r="H60" s="1198">
        <f t="shared" si="16"/>
        <v>1.89E-2</v>
      </c>
      <c r="I60" s="759">
        <v>0.3</v>
      </c>
      <c r="J60" s="1195">
        <f t="shared" si="17"/>
        <v>3.78E-2</v>
      </c>
      <c r="K60" s="1195">
        <f t="shared" si="18"/>
        <v>1.89E-2</v>
      </c>
      <c r="L60" s="1195">
        <v>0</v>
      </c>
      <c r="M60" s="1195">
        <f t="shared" si="19"/>
        <v>-1.89E-2</v>
      </c>
      <c r="N60" s="1195">
        <f t="shared" si="19"/>
        <v>-3.78E-2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3114</v>
      </c>
      <c r="D61" s="1196">
        <f t="shared" si="15"/>
        <v>5.0000000000000001E-3</v>
      </c>
      <c r="E61" s="761"/>
      <c r="F61" s="1999"/>
      <c r="G61" s="1194">
        <f t="shared" si="20"/>
        <v>5.0000000000000001E-3</v>
      </c>
      <c r="H61" s="1198">
        <f t="shared" si="16"/>
        <v>5.0000000000000001E-3</v>
      </c>
      <c r="I61" s="759">
        <v>0.08</v>
      </c>
      <c r="J61" s="1195">
        <f t="shared" si="17"/>
        <v>0.01</v>
      </c>
      <c r="K61" s="1195">
        <f t="shared" si="18"/>
        <v>5.0000000000000001E-3</v>
      </c>
      <c r="L61" s="1195">
        <v>0</v>
      </c>
      <c r="M61" s="1195">
        <f t="shared" si="19"/>
        <v>-5.0000000000000001E-3</v>
      </c>
      <c r="N61" s="1195">
        <f t="shared" si="19"/>
        <v>-0.01</v>
      </c>
      <c r="AA61" s="1281"/>
      <c r="AB61" s="1281"/>
      <c r="AC61" s="1281"/>
      <c r="AD61" s="1281"/>
      <c r="AE61" s="1281"/>
      <c r="AF61" s="1281"/>
      <c r="AG61" s="1281"/>
      <c r="AH61" s="1281"/>
      <c r="AI61" s="1281"/>
      <c r="AJ61" s="1281"/>
      <c r="AK61" s="1281"/>
    </row>
    <row r="62" spans="1:37" s="1280" customFormat="1" ht="36.75">
      <c r="A62" s="2328" t="s">
        <v>2771</v>
      </c>
      <c r="B62" s="2333" t="s">
        <v>2772</v>
      </c>
      <c r="C62" s="2233" t="s">
        <v>3114</v>
      </c>
      <c r="D62" s="1196">
        <f t="shared" si="15"/>
        <v>2.5000000000000001E-3</v>
      </c>
      <c r="E62" s="761"/>
      <c r="F62" s="1999"/>
      <c r="G62" s="1194">
        <f t="shared" si="20"/>
        <v>2.5000000000000001E-3</v>
      </c>
      <c r="H62" s="1198">
        <f t="shared" si="16"/>
        <v>2.5000000000000001E-3</v>
      </c>
      <c r="I62" s="759">
        <v>0.04</v>
      </c>
      <c r="J62" s="1195">
        <f t="shared" si="17"/>
        <v>5.0000000000000001E-3</v>
      </c>
      <c r="K62" s="1195">
        <f t="shared" si="18"/>
        <v>2.5000000000000001E-3</v>
      </c>
      <c r="L62" s="1195">
        <v>0</v>
      </c>
      <c r="M62" s="1195">
        <f t="shared" si="19"/>
        <v>-2.5000000000000001E-3</v>
      </c>
      <c r="N62" s="1195">
        <f t="shared" si="19"/>
        <v>-5.0000000000000001E-3</v>
      </c>
      <c r="AA62" s="1281"/>
      <c r="AB62" s="1281"/>
      <c r="AC62" s="1281"/>
      <c r="AD62" s="1281"/>
      <c r="AE62" s="1281"/>
      <c r="AF62" s="1281"/>
      <c r="AG62" s="1281"/>
      <c r="AH62" s="1281"/>
      <c r="AI62" s="1281"/>
      <c r="AJ62" s="1281"/>
      <c r="AK62" s="1281"/>
    </row>
    <row r="63" spans="1:37" s="1280" customFormat="1" ht="24">
      <c r="A63" s="2328" t="s">
        <v>2773</v>
      </c>
      <c r="B63" s="2332" t="str">
        <f>估价对象房地状况!C24</f>
        <v>一般</v>
      </c>
      <c r="C63" s="2233" t="s">
        <v>3113</v>
      </c>
      <c r="D63" s="1196">
        <f t="shared" si="15"/>
        <v>0</v>
      </c>
      <c r="E63" s="761"/>
      <c r="F63" s="1999"/>
      <c r="G63" s="1194">
        <f t="shared" si="20"/>
        <v>3.0999999999999999E-3</v>
      </c>
      <c r="H63" s="1198">
        <f t="shared" si="16"/>
        <v>3.0999999999999999E-3</v>
      </c>
      <c r="I63" s="759">
        <v>0.05</v>
      </c>
      <c r="J63" s="1195">
        <f t="shared" si="17"/>
        <v>6.1999999999999998E-3</v>
      </c>
      <c r="K63" s="1195">
        <f t="shared" si="18"/>
        <v>3.0999999999999999E-3</v>
      </c>
      <c r="L63" s="1195">
        <v>0</v>
      </c>
      <c r="M63" s="1195">
        <f t="shared" si="19"/>
        <v>-3.0999999999999999E-3</v>
      </c>
      <c r="N63" s="1195">
        <f t="shared" si="19"/>
        <v>-6.1999999999999998E-3</v>
      </c>
      <c r="AA63" s="1281"/>
      <c r="AB63" s="1281"/>
      <c r="AC63" s="1281"/>
      <c r="AD63" s="1281"/>
      <c r="AE63" s="1281"/>
      <c r="AF63" s="1281"/>
      <c r="AG63" s="1281"/>
      <c r="AH63" s="1281"/>
      <c r="AI63" s="1281"/>
      <c r="AJ63" s="1281"/>
      <c r="AK63" s="1281"/>
    </row>
    <row r="64" spans="1:37" s="1280" customFormat="1" ht="24">
      <c r="A64" s="2328" t="s">
        <v>2774</v>
      </c>
      <c r="B64" s="2334" t="s">
        <v>2775</v>
      </c>
      <c r="C64" s="2233" t="s">
        <v>3114</v>
      </c>
      <c r="D64" s="1196">
        <f t="shared" si="15"/>
        <v>3.0999999999999999E-3</v>
      </c>
      <c r="E64" s="761"/>
      <c r="F64" s="1999"/>
      <c r="G64" s="1194">
        <f t="shared" si="20"/>
        <v>3.0999999999999999E-3</v>
      </c>
      <c r="H64" s="1198">
        <f t="shared" si="16"/>
        <v>3.0999999999999999E-3</v>
      </c>
      <c r="I64" s="759">
        <v>0.05</v>
      </c>
      <c r="J64" s="1195">
        <f t="shared" si="17"/>
        <v>6.1999999999999998E-3</v>
      </c>
      <c r="K64" s="1195">
        <f t="shared" si="18"/>
        <v>3.0999999999999999E-3</v>
      </c>
      <c r="L64" s="1195">
        <v>0</v>
      </c>
      <c r="M64" s="1195">
        <f t="shared" si="19"/>
        <v>-3.0999999999999999E-3</v>
      </c>
      <c r="N64" s="1195">
        <f t="shared" si="19"/>
        <v>-6.1999999999999998E-3</v>
      </c>
      <c r="AA64" s="1281"/>
      <c r="AB64" s="1281"/>
      <c r="AC64" s="1281"/>
      <c r="AD64" s="1281"/>
      <c r="AE64" s="1281"/>
      <c r="AF64" s="1281"/>
      <c r="AG64" s="1281"/>
      <c r="AH64" s="1281"/>
      <c r="AI64" s="1281"/>
      <c r="AJ64" s="1281"/>
      <c r="AK64" s="1281"/>
    </row>
    <row r="65" spans="1:37" s="1280" customFormat="1" ht="24">
      <c r="A65" s="2328" t="s">
        <v>2776</v>
      </c>
      <c r="B65" s="1493" t="str">
        <f>估价对象房地状况!C21</f>
        <v>较好</v>
      </c>
      <c r="C65" s="2233" t="s">
        <v>3114</v>
      </c>
      <c r="D65" s="1196">
        <f t="shared" si="15"/>
        <v>3.7000000000000002E-3</v>
      </c>
      <c r="E65" s="761"/>
      <c r="F65" s="1999"/>
      <c r="G65" s="1194">
        <f t="shared" si="20"/>
        <v>3.7000000000000002E-3</v>
      </c>
      <c r="H65" s="1198">
        <f t="shared" si="16"/>
        <v>3.7000000000000002E-3</v>
      </c>
      <c r="I65" s="759">
        <v>0.06</v>
      </c>
      <c r="J65" s="1195">
        <f t="shared" si="17"/>
        <v>7.4000000000000003E-3</v>
      </c>
      <c r="K65" s="1195">
        <f t="shared" si="18"/>
        <v>3.7000000000000002E-3</v>
      </c>
      <c r="L65" s="1195">
        <v>0</v>
      </c>
      <c r="M65" s="1195">
        <f t="shared" si="19"/>
        <v>-3.7000000000000002E-3</v>
      </c>
      <c r="N65" s="1195">
        <f t="shared" si="19"/>
        <v>-7.4000000000000003E-3</v>
      </c>
      <c r="AA65" s="1281"/>
      <c r="AB65" s="1281"/>
      <c r="AC65" s="1281"/>
      <c r="AD65" s="1281"/>
      <c r="AE65" s="1281"/>
      <c r="AF65" s="1281"/>
      <c r="AG65" s="1281"/>
      <c r="AH65" s="1281"/>
      <c r="AI65" s="1281"/>
      <c r="AJ65" s="1281"/>
      <c r="AK65" s="1281"/>
    </row>
    <row r="66" spans="1:37" s="1280" customFormat="1" ht="24">
      <c r="A66" s="2328" t="s">
        <v>2777</v>
      </c>
      <c r="B66" s="1493" t="str">
        <f>估价对象房地状况!C22</f>
        <v>七通</v>
      </c>
      <c r="C66" s="2233" t="s">
        <v>3115</v>
      </c>
      <c r="D66" s="1196">
        <f t="shared" si="15"/>
        <v>1.4999999999999999E-2</v>
      </c>
      <c r="E66" s="761"/>
      <c r="F66" s="1999"/>
      <c r="G66" s="1194">
        <f t="shared" si="20"/>
        <v>7.4999999999999997E-3</v>
      </c>
      <c r="H66" s="1198">
        <f t="shared" si="16"/>
        <v>7.4999999999999997E-3</v>
      </c>
      <c r="I66" s="759">
        <v>0.12</v>
      </c>
      <c r="J66" s="1195">
        <f t="shared" si="17"/>
        <v>1.4999999999999999E-2</v>
      </c>
      <c r="K66" s="1195">
        <f t="shared" si="18"/>
        <v>7.4999999999999997E-3</v>
      </c>
      <c r="L66" s="1195">
        <v>0</v>
      </c>
      <c r="M66" s="1195">
        <f t="shared" si="19"/>
        <v>-7.4999999999999997E-3</v>
      </c>
      <c r="N66" s="1195">
        <f t="shared" si="19"/>
        <v>-1.4999999999999999E-2</v>
      </c>
      <c r="AA66" s="1281"/>
      <c r="AB66" s="1281"/>
      <c r="AC66" s="1281"/>
      <c r="AD66" s="1281"/>
      <c r="AE66" s="1281"/>
      <c r="AF66" s="1281"/>
      <c r="AG66" s="1281"/>
      <c r="AH66" s="1281"/>
      <c r="AI66" s="1281"/>
      <c r="AJ66" s="1281"/>
      <c r="AK66" s="1281"/>
    </row>
    <row r="67" spans="1:37" s="1280" customFormat="1" ht="24.75" thickBot="1">
      <c r="A67" s="2336" t="s">
        <v>2778</v>
      </c>
      <c r="B67" s="2338" t="str">
        <f>估价对象房地状况!C20</f>
        <v>一般</v>
      </c>
      <c r="C67" s="2233" t="s">
        <v>3113</v>
      </c>
      <c r="D67" s="1196">
        <f t="shared" si="15"/>
        <v>0</v>
      </c>
      <c r="E67" s="764"/>
      <c r="F67" s="1999"/>
      <c r="G67" s="1194">
        <f t="shared" si="20"/>
        <v>3.7000000000000002E-3</v>
      </c>
      <c r="H67" s="1198">
        <f t="shared" si="16"/>
        <v>3.7000000000000002E-3</v>
      </c>
      <c r="I67" s="763">
        <v>0.06</v>
      </c>
      <c r="J67" s="1195">
        <f t="shared" si="17"/>
        <v>7.4000000000000003E-3</v>
      </c>
      <c r="K67" s="1195">
        <f t="shared" si="18"/>
        <v>3.7000000000000002E-3</v>
      </c>
      <c r="L67" s="1195">
        <v>0</v>
      </c>
      <c r="M67" s="1195">
        <f t="shared" si="19"/>
        <v>-3.7000000000000002E-3</v>
      </c>
      <c r="N67" s="1195">
        <f t="shared" si="19"/>
        <v>-7.4000000000000003E-3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4"/>
      <c r="C69" s="1534" t="s">
        <v>2762</v>
      </c>
      <c r="D69" s="1534" t="s">
        <v>2763</v>
      </c>
      <c r="E69" s="758" t="s">
        <v>2764</v>
      </c>
      <c r="F69" s="2329" t="s">
        <v>2780</v>
      </c>
      <c r="G69" s="1534" t="s">
        <v>754</v>
      </c>
      <c r="H69" s="2330" t="s">
        <v>2766</v>
      </c>
      <c r="I69" s="1534"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8" t="s">
        <v>2783</v>
      </c>
      <c r="B70" s="2331">
        <f>估价对象房地状况!C15</f>
        <v>0</v>
      </c>
      <c r="C70" s="2233"/>
      <c r="D70" s="1196">
        <f t="shared" ref="D70:D78" si="21">SUMIF($J$69:$N$69,C70,J70:N70)</f>
        <v>0</v>
      </c>
      <c r="E70" s="760">
        <f>ROUND(SUM(D70:D78),4)</f>
        <v>0</v>
      </c>
      <c r="F70" s="199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28" t="s">
        <v>2769</v>
      </c>
      <c r="B71" s="2332" t="str">
        <f>估价对象房地状况!C18</f>
        <v>较好</v>
      </c>
      <c r="C71" s="2233"/>
      <c r="D71" s="1196">
        <f t="shared" si="21"/>
        <v>0</v>
      </c>
      <c r="E71" s="765"/>
      <c r="F71" s="1999"/>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1"/>
        <v>0</v>
      </c>
      <c r="E72" s="765"/>
      <c r="F72" s="1999"/>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8" t="s">
        <v>2784</v>
      </c>
      <c r="B73" s="2332" t="str">
        <f>估价对象房地状况!C24</f>
        <v>一般</v>
      </c>
      <c r="C73" s="2233"/>
      <c r="D73" s="1196">
        <f t="shared" si="21"/>
        <v>0</v>
      </c>
      <c r="E73" s="765"/>
      <c r="F73" s="1999"/>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28" t="s">
        <v>2776</v>
      </c>
      <c r="B74" s="1493" t="str">
        <f>估价对象房地状况!C21</f>
        <v>较好</v>
      </c>
      <c r="C74" s="2233"/>
      <c r="D74" s="1196">
        <f t="shared" si="21"/>
        <v>0</v>
      </c>
      <c r="E74" s="765"/>
      <c r="F74" s="1999"/>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28" t="s">
        <v>2777</v>
      </c>
      <c r="B75" s="1493" t="str">
        <f>估价对象房地状况!C22</f>
        <v>七通</v>
      </c>
      <c r="C75" s="2233"/>
      <c r="D75" s="1196">
        <f t="shared" si="21"/>
        <v>0</v>
      </c>
      <c r="E75" s="765"/>
      <c r="F75" s="1999"/>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1"/>
        <v>0</v>
      </c>
      <c r="E76" s="765"/>
      <c r="F76" s="1999"/>
      <c r="G76" s="1194"/>
      <c r="H76" s="1198" t="str">
        <f t="shared" si="22"/>
        <v>——</v>
      </c>
      <c r="I76" s="759">
        <v>0.05</v>
      </c>
      <c r="J76" s="1195">
        <f t="shared" si="23"/>
        <v>0</v>
      </c>
      <c r="K76" s="1195">
        <f t="shared" si="24"/>
        <v>0</v>
      </c>
      <c r="L76" s="1195">
        <v>0</v>
      </c>
      <c r="M76" s="1195">
        <f t="shared" si="25"/>
        <v>0</v>
      </c>
      <c r="N76" s="1195">
        <f t="shared" si="25"/>
        <v>0</v>
      </c>
      <c r="AA76" s="2339"/>
      <c r="AB76" s="1281"/>
      <c r="AC76" s="1281"/>
      <c r="AD76" s="1281"/>
      <c r="AE76" s="1281"/>
      <c r="AF76" s="1281"/>
      <c r="AG76" s="1281"/>
      <c r="AH76" s="2339"/>
      <c r="AI76" s="2339"/>
      <c r="AJ76" s="2339"/>
      <c r="AK76" s="2339"/>
    </row>
    <row r="77" spans="1:37" ht="24">
      <c r="A77" s="2328" t="s">
        <v>2778</v>
      </c>
      <c r="B77" s="2331" t="str">
        <f>估价对象房地状况!C20</f>
        <v>一般</v>
      </c>
      <c r="C77" s="2233"/>
      <c r="D77" s="1196">
        <f t="shared" si="21"/>
        <v>0</v>
      </c>
      <c r="E77" s="765"/>
      <c r="F77" s="1999"/>
      <c r="G77" s="1194"/>
      <c r="H77" s="1198" t="str">
        <f t="shared" si="22"/>
        <v>——</v>
      </c>
      <c r="I77" s="759">
        <v>0.15</v>
      </c>
      <c r="J77" s="1195">
        <f t="shared" si="23"/>
        <v>0</v>
      </c>
      <c r="K77" s="1195">
        <f t="shared" si="24"/>
        <v>0</v>
      </c>
      <c r="L77" s="1195">
        <v>0</v>
      </c>
      <c r="M77" s="1195">
        <f t="shared" si="25"/>
        <v>0</v>
      </c>
      <c r="N77" s="1195">
        <f t="shared" si="25"/>
        <v>0</v>
      </c>
      <c r="Z77" s="2183"/>
      <c r="AA77" s="2249"/>
      <c r="AG77" s="1282"/>
      <c r="AK77" s="2249"/>
    </row>
    <row r="78" spans="1:37" ht="24.75" thickBot="1">
      <c r="A78" s="2336" t="s">
        <v>2785</v>
      </c>
      <c r="B78" s="2340"/>
      <c r="C78" s="2233"/>
      <c r="D78" s="1196">
        <f t="shared" si="21"/>
        <v>0</v>
      </c>
      <c r="E78" s="766"/>
      <c r="F78" s="1999"/>
      <c r="G78" s="1194"/>
      <c r="H78" s="1198" t="str">
        <f t="shared" si="22"/>
        <v>——</v>
      </c>
      <c r="I78" s="763">
        <v>0.04</v>
      </c>
      <c r="J78" s="1195">
        <f t="shared" si="23"/>
        <v>0</v>
      </c>
      <c r="K78" s="1195">
        <f t="shared" si="24"/>
        <v>0</v>
      </c>
      <c r="L78" s="1195">
        <v>0</v>
      </c>
      <c r="M78" s="1195">
        <f t="shared" si="25"/>
        <v>0</v>
      </c>
      <c r="N78" s="1195">
        <f t="shared" si="25"/>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4"/>
      <c r="C80" s="1534" t="s">
        <v>2762</v>
      </c>
      <c r="D80" s="1534" t="s">
        <v>2763</v>
      </c>
      <c r="E80" s="758" t="s">
        <v>2764</v>
      </c>
      <c r="F80" s="2329" t="s">
        <v>2780</v>
      </c>
      <c r="G80" s="1534" t="s">
        <v>754</v>
      </c>
      <c r="H80" s="2330" t="s">
        <v>2766</v>
      </c>
      <c r="I80" s="1534" t="s">
        <v>2767</v>
      </c>
      <c r="J80" s="560" t="s">
        <v>2418</v>
      </c>
      <c r="K80" s="560" t="s">
        <v>2419</v>
      </c>
      <c r="L80" s="560" t="s">
        <v>2420</v>
      </c>
      <c r="M80" s="560" t="s">
        <v>2421</v>
      </c>
      <c r="N80" s="560" t="s">
        <v>2422</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6">SUMIF($J$80:$N$80,C81,J81:N81)</f>
        <v>0</v>
      </c>
      <c r="E81" s="760">
        <f>ROUND(SUM(D81:D88),4)</f>
        <v>0</v>
      </c>
      <c r="F81" s="199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6"/>
        <v>0</v>
      </c>
      <c r="E82" s="765"/>
      <c r="F82" s="1999"/>
      <c r="G82" s="1194"/>
      <c r="H82" s="1198" t="str">
        <f t="shared" si="27"/>
        <v>——</v>
      </c>
      <c r="I82" s="759">
        <v>0.33</v>
      </c>
      <c r="J82" s="1195">
        <f t="shared" si="28"/>
        <v>0</v>
      </c>
      <c r="K82" s="1195">
        <f t="shared" si="29"/>
        <v>0</v>
      </c>
      <c r="L82" s="1195">
        <v>0</v>
      </c>
      <c r="M82" s="1195">
        <f t="shared" si="30"/>
        <v>0</v>
      </c>
      <c r="N82" s="1195">
        <f t="shared" si="30"/>
        <v>0</v>
      </c>
      <c r="Z82" s="2183"/>
      <c r="AA82" s="2249"/>
      <c r="AG82" s="1282"/>
      <c r="AK82" s="2249"/>
    </row>
    <row r="83" spans="1:37" ht="24">
      <c r="A83" s="2328" t="s">
        <v>2770</v>
      </c>
      <c r="B83" s="2332">
        <f>估价对象房地状况!G17</f>
        <v>0</v>
      </c>
      <c r="C83" s="2233"/>
      <c r="D83" s="1196">
        <f t="shared" si="26"/>
        <v>0</v>
      </c>
      <c r="E83" s="765"/>
      <c r="F83" s="1999"/>
      <c r="G83" s="1194"/>
      <c r="H83" s="1198" t="str">
        <f t="shared" si="27"/>
        <v>——</v>
      </c>
      <c r="I83" s="759">
        <v>0.05</v>
      </c>
      <c r="J83" s="1195">
        <f t="shared" si="28"/>
        <v>0</v>
      </c>
      <c r="K83" s="1195">
        <f t="shared" si="29"/>
        <v>0</v>
      </c>
      <c r="L83" s="1195">
        <v>0</v>
      </c>
      <c r="M83" s="1195">
        <f t="shared" si="30"/>
        <v>0</v>
      </c>
      <c r="N83" s="1195">
        <f t="shared" si="30"/>
        <v>0</v>
      </c>
      <c r="Z83" s="2183"/>
      <c r="AA83" s="2249"/>
      <c r="AG83" s="1282"/>
      <c r="AK83" s="2249"/>
    </row>
    <row r="84" spans="1:37" ht="14.25">
      <c r="A84" s="2328" t="s">
        <v>2784</v>
      </c>
      <c r="B84" s="2332">
        <f>估价对象房地状况!G22</f>
        <v>0</v>
      </c>
      <c r="C84" s="2233"/>
      <c r="D84" s="1196">
        <f t="shared" si="26"/>
        <v>0</v>
      </c>
      <c r="E84" s="765"/>
      <c r="F84" s="1999"/>
      <c r="G84" s="1194"/>
      <c r="H84" s="1198" t="str">
        <f t="shared" si="27"/>
        <v>——</v>
      </c>
      <c r="I84" s="759">
        <v>0.04</v>
      </c>
      <c r="J84" s="1195">
        <f t="shared" si="28"/>
        <v>0</v>
      </c>
      <c r="K84" s="1195">
        <f t="shared" si="29"/>
        <v>0</v>
      </c>
      <c r="L84" s="1195">
        <v>0</v>
      </c>
      <c r="M84" s="1195">
        <f t="shared" si="30"/>
        <v>0</v>
      </c>
      <c r="N84" s="1195">
        <f t="shared" si="30"/>
        <v>0</v>
      </c>
      <c r="Z84" s="2183"/>
      <c r="AA84" s="2249"/>
      <c r="AG84" s="1282"/>
      <c r="AK84" s="2249"/>
    </row>
    <row r="85" spans="1:37" ht="25.5">
      <c r="A85" s="2328" t="s">
        <v>2776</v>
      </c>
      <c r="B85" s="1493" t="str">
        <f>估价对象房地状况!G19</f>
        <v>估价对象所在区域公共配套设施齐备情况</v>
      </c>
      <c r="C85" s="2233"/>
      <c r="D85" s="1196">
        <f t="shared" si="26"/>
        <v>0</v>
      </c>
      <c r="E85" s="765"/>
      <c r="F85" s="1999"/>
      <c r="G85" s="1194"/>
      <c r="H85" s="1198" t="str">
        <f t="shared" si="27"/>
        <v>——</v>
      </c>
      <c r="I85" s="759">
        <v>0.06</v>
      </c>
      <c r="J85" s="1195">
        <f t="shared" si="28"/>
        <v>0</v>
      </c>
      <c r="K85" s="1195">
        <f t="shared" si="29"/>
        <v>0</v>
      </c>
      <c r="L85" s="1195">
        <v>0</v>
      </c>
      <c r="M85" s="1195">
        <f t="shared" si="30"/>
        <v>0</v>
      </c>
      <c r="N85" s="1195">
        <f t="shared" si="30"/>
        <v>0</v>
      </c>
      <c r="Z85" s="2183"/>
      <c r="AA85" s="2249"/>
      <c r="AG85" s="1282"/>
      <c r="AK85" s="2249"/>
    </row>
    <row r="86" spans="1:37" ht="25.5">
      <c r="A86" s="2328" t="s">
        <v>2777</v>
      </c>
      <c r="B86" s="1493" t="str">
        <f>估价对象房地状况!G20</f>
        <v>估价对象所在区域基础设施水平</v>
      </c>
      <c r="C86" s="2233"/>
      <c r="D86" s="1196">
        <f t="shared" si="26"/>
        <v>0</v>
      </c>
      <c r="E86" s="765"/>
      <c r="F86" s="1999"/>
      <c r="G86" s="1194"/>
      <c r="H86" s="1198" t="str">
        <f t="shared" si="27"/>
        <v>——</v>
      </c>
      <c r="I86" s="759">
        <v>0.15</v>
      </c>
      <c r="J86" s="1195">
        <f t="shared" si="28"/>
        <v>0</v>
      </c>
      <c r="K86" s="1195">
        <f t="shared" si="29"/>
        <v>0</v>
      </c>
      <c r="L86" s="1195">
        <v>0</v>
      </c>
      <c r="M86" s="1195">
        <f t="shared" si="30"/>
        <v>0</v>
      </c>
      <c r="N86" s="1195">
        <f t="shared" si="30"/>
        <v>0</v>
      </c>
      <c r="Z86" s="2183"/>
      <c r="AA86" s="2249"/>
      <c r="AG86" s="1282"/>
      <c r="AK86" s="2249"/>
    </row>
    <row r="87" spans="1:37" ht="24">
      <c r="A87" s="2328" t="s">
        <v>2774</v>
      </c>
      <c r="B87" s="2334" t="s">
        <v>2788</v>
      </c>
      <c r="C87" s="2233"/>
      <c r="D87" s="1196">
        <f t="shared" si="26"/>
        <v>0</v>
      </c>
      <c r="E87" s="765"/>
      <c r="F87" s="1999"/>
      <c r="G87" s="1194"/>
      <c r="H87" s="1198" t="str">
        <f t="shared" si="27"/>
        <v>——</v>
      </c>
      <c r="I87" s="759">
        <v>0.05</v>
      </c>
      <c r="J87" s="1195">
        <f t="shared" si="28"/>
        <v>0</v>
      </c>
      <c r="K87" s="1195">
        <f t="shared" si="29"/>
        <v>0</v>
      </c>
      <c r="L87" s="1195">
        <v>0</v>
      </c>
      <c r="M87" s="1195">
        <f t="shared" si="30"/>
        <v>0</v>
      </c>
      <c r="N87" s="1195">
        <f t="shared" si="30"/>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6"/>
        <v>0</v>
      </c>
      <c r="E88" s="766"/>
      <c r="F88" s="1999"/>
      <c r="G88" s="1194"/>
      <c r="H88" s="1198" t="str">
        <f t="shared" si="27"/>
        <v>——</v>
      </c>
      <c r="I88" s="763">
        <v>0.06</v>
      </c>
      <c r="J88" s="1195">
        <f t="shared" si="28"/>
        <v>0</v>
      </c>
      <c r="K88" s="1195">
        <f t="shared" si="29"/>
        <v>0</v>
      </c>
      <c r="L88" s="1195">
        <v>0</v>
      </c>
      <c r="M88" s="1195">
        <f t="shared" si="30"/>
        <v>0</v>
      </c>
      <c r="N88" s="1195">
        <f t="shared" si="30"/>
        <v>0</v>
      </c>
      <c r="Z88" s="2183"/>
      <c r="AA88" s="2249"/>
      <c r="AG88" s="1282"/>
      <c r="AK88" s="2249"/>
    </row>
    <row r="90" spans="1:37">
      <c r="A90" s="3347" t="s">
        <v>2790</v>
      </c>
      <c r="B90" s="3347"/>
      <c r="C90" s="3347"/>
      <c r="D90" s="3347"/>
      <c r="E90" s="3347"/>
      <c r="F90" s="3347"/>
      <c r="G90" s="3347"/>
      <c r="H90" s="3347"/>
      <c r="I90" s="3347"/>
      <c r="J90" s="3347"/>
      <c r="K90" s="2342"/>
      <c r="L90" s="2342"/>
      <c r="M90" s="2342"/>
      <c r="N90" s="2342"/>
    </row>
    <row r="91" spans="1:37">
      <c r="A91" s="3349" t="s">
        <v>2791</v>
      </c>
      <c r="B91" s="3349" t="s">
        <v>2792</v>
      </c>
      <c r="C91" s="2296" t="s">
        <v>2793</v>
      </c>
      <c r="D91" s="2297"/>
      <c r="E91" s="2297"/>
      <c r="F91" s="2297"/>
      <c r="G91" s="2297"/>
      <c r="H91" s="2297"/>
      <c r="I91" s="2297"/>
      <c r="J91" s="2343"/>
      <c r="K91" s="2344"/>
      <c r="L91" s="2344"/>
      <c r="M91" s="2344"/>
      <c r="N91" s="2344"/>
    </row>
    <row r="92" spans="1:37">
      <c r="A92" s="3349"/>
      <c r="B92" s="334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1"/>
      <c r="B99" s="2345" t="s">
        <v>2677</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5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0" t="s">
        <v>2795</v>
      </c>
      <c r="B101" s="2349" t="s">
        <v>2796</v>
      </c>
      <c r="C101" s="2350">
        <f>$G$3</f>
        <v>4.1900000000000004</v>
      </c>
      <c r="D101" s="2350">
        <f t="shared" ref="D101:N101" si="32">$G$3</f>
        <v>4.1900000000000004</v>
      </c>
      <c r="E101" s="2350">
        <f t="shared" si="32"/>
        <v>4.1900000000000004</v>
      </c>
      <c r="F101" s="2350">
        <f t="shared" si="32"/>
        <v>4.1900000000000004</v>
      </c>
      <c r="G101" s="2350">
        <f t="shared" si="32"/>
        <v>4.1900000000000004</v>
      </c>
      <c r="H101" s="2350">
        <f t="shared" si="32"/>
        <v>4.1900000000000004</v>
      </c>
      <c r="I101" s="2350">
        <f t="shared" si="32"/>
        <v>4.1900000000000004</v>
      </c>
      <c r="J101" s="2350">
        <f t="shared" si="32"/>
        <v>4.1900000000000004</v>
      </c>
      <c r="K101" s="2350">
        <f t="shared" si="32"/>
        <v>4.1900000000000004</v>
      </c>
      <c r="L101" s="2350">
        <f t="shared" si="32"/>
        <v>4.1900000000000004</v>
      </c>
      <c r="M101" s="2350">
        <f t="shared" si="32"/>
        <v>4.1900000000000004</v>
      </c>
      <c r="N101" s="2350">
        <f t="shared" si="32"/>
        <v>4.1900000000000004</v>
      </c>
    </row>
    <row r="102" spans="1:14">
      <c r="A102" s="3351"/>
      <c r="B102" s="2345">
        <v>1</v>
      </c>
      <c r="C102" s="2346">
        <f>1.9362/C101</f>
        <v>0.46210023866348443</v>
      </c>
      <c r="D102" s="2346">
        <f>1.9362/D101</f>
        <v>0.46210023866348443</v>
      </c>
      <c r="E102" s="2346">
        <f>1.8629/E101</f>
        <v>0.44460620525059663</v>
      </c>
      <c r="F102" s="2346">
        <f>1.8629/F101</f>
        <v>0.44460620525059663</v>
      </c>
      <c r="G102" s="2346">
        <f>1.8629/G101</f>
        <v>0.44460620525059663</v>
      </c>
      <c r="H102" s="2346">
        <f>1.8629/H101</f>
        <v>0.44460620525059663</v>
      </c>
      <c r="I102" s="2346">
        <f>1.8629/I101</f>
        <v>0.44460620525059663</v>
      </c>
      <c r="J102" s="2346">
        <f>1.942/J101</f>
        <v>0.46348448687350829</v>
      </c>
      <c r="K102" s="2346">
        <f>1.942/K101</f>
        <v>0.46348448687350829</v>
      </c>
      <c r="L102" s="2346">
        <f>1.942/L101</f>
        <v>0.46348448687350829</v>
      </c>
      <c r="M102" s="2346">
        <f>1.942/M101</f>
        <v>0.46348448687350829</v>
      </c>
      <c r="N102" s="2346">
        <f>1.942/N101</f>
        <v>0.46348448687350829</v>
      </c>
    </row>
    <row r="103" spans="1:14">
      <c r="A103" s="3351"/>
      <c r="B103" s="2345">
        <v>2</v>
      </c>
      <c r="C103" s="2346">
        <f>1.4198/C101</f>
        <v>0.33885441527446297</v>
      </c>
      <c r="D103" s="2346">
        <f>1.4198/D101</f>
        <v>0.33885441527446297</v>
      </c>
      <c r="E103" s="2346">
        <f>1.3372/E101</f>
        <v>0.31914081145584722</v>
      </c>
      <c r="F103" s="2346">
        <f>1.3372/F101</f>
        <v>0.31914081145584722</v>
      </c>
      <c r="G103" s="2346">
        <f>1.3372/G101</f>
        <v>0.31914081145584722</v>
      </c>
      <c r="H103" s="2346">
        <f>1.3372/H101</f>
        <v>0.31914081145584722</v>
      </c>
      <c r="I103" s="2346">
        <f>1.3372/I101</f>
        <v>0.31914081145584722</v>
      </c>
      <c r="J103" s="2346">
        <f>1.2799/J101</f>
        <v>0.30546539379474941</v>
      </c>
      <c r="K103" s="2346">
        <f>1.2799/K101</f>
        <v>0.30546539379474941</v>
      </c>
      <c r="L103" s="2346">
        <f>1.2799/L101</f>
        <v>0.30546539379474941</v>
      </c>
      <c r="M103" s="2346">
        <f>1.2799/M101</f>
        <v>0.30546539379474941</v>
      </c>
      <c r="N103" s="2346">
        <f>1.2799/N101</f>
        <v>0.30546539379474941</v>
      </c>
    </row>
    <row r="104" spans="1:14">
      <c r="A104" s="3351"/>
      <c r="B104" s="2345">
        <v>3</v>
      </c>
      <c r="C104" s="2346">
        <f>1.1594/C101</f>
        <v>0.27670644391408111</v>
      </c>
      <c r="D104" s="2346">
        <f>1.1594/D101</f>
        <v>0.27670644391408111</v>
      </c>
      <c r="E104" s="2346">
        <f>1.0788/E101</f>
        <v>0.25747016706443909</v>
      </c>
      <c r="F104" s="2346">
        <f>1.0788/F101</f>
        <v>0.25747016706443909</v>
      </c>
      <c r="G104" s="2346">
        <f>1.0788/G101</f>
        <v>0.25747016706443909</v>
      </c>
      <c r="H104" s="2346">
        <f>1.0788/H101</f>
        <v>0.25747016706443909</v>
      </c>
      <c r="I104" s="2346">
        <f>1.0788/I101</f>
        <v>0.25747016706443909</v>
      </c>
      <c r="J104" s="2346">
        <f>1.0072/J101</f>
        <v>0.24038186157517899</v>
      </c>
      <c r="K104" s="2346">
        <f>1.0072/K101</f>
        <v>0.24038186157517899</v>
      </c>
      <c r="L104" s="2346">
        <f>1.0072/L101</f>
        <v>0.24038186157517899</v>
      </c>
      <c r="M104" s="2346">
        <f>1.0072/M101</f>
        <v>0.24038186157517899</v>
      </c>
      <c r="N104" s="2346">
        <f>1.0072/N101</f>
        <v>0.24038186157517899</v>
      </c>
    </row>
    <row r="105" spans="1:14">
      <c r="A105" s="3351"/>
      <c r="B105" s="2345">
        <v>4</v>
      </c>
      <c r="C105" s="2346">
        <f>0.9622/C101</f>
        <v>0.22964200477326968</v>
      </c>
      <c r="D105" s="2346">
        <f>0.9622/D101</f>
        <v>0.22964200477326968</v>
      </c>
      <c r="E105" s="2346">
        <f>0.8656/E101</f>
        <v>0.2065871121718377</v>
      </c>
      <c r="F105" s="2346">
        <f>0.8656/F101</f>
        <v>0.2065871121718377</v>
      </c>
      <c r="G105" s="2346">
        <f>0.8656/G101</f>
        <v>0.2065871121718377</v>
      </c>
      <c r="H105" s="2346">
        <f>0.8656/H101</f>
        <v>0.2065871121718377</v>
      </c>
      <c r="I105" s="2346">
        <f>0.8656/I101</f>
        <v>0.2065871121718377</v>
      </c>
      <c r="J105" s="2346">
        <f>0.7525/J101</f>
        <v>0.1795942720763723</v>
      </c>
      <c r="K105" s="2346">
        <f>0.7525/K101</f>
        <v>0.1795942720763723</v>
      </c>
      <c r="L105" s="2346">
        <f>0.7525/L101</f>
        <v>0.1795942720763723</v>
      </c>
      <c r="M105" s="2346">
        <f>0.7525/M101</f>
        <v>0.1795942720763723</v>
      </c>
      <c r="N105" s="2346">
        <f>0.7525/N101</f>
        <v>0.1795942720763723</v>
      </c>
    </row>
    <row r="106" spans="1:14">
      <c r="A106" s="3351"/>
      <c r="B106" s="2345">
        <v>5</v>
      </c>
      <c r="C106" s="2346">
        <f>0.8417/C101</f>
        <v>0.20088305489260141</v>
      </c>
      <c r="D106" s="2346">
        <f>0.8417/D101</f>
        <v>0.20088305489260141</v>
      </c>
      <c r="E106" s="2346">
        <f>0.7371/E101</f>
        <v>0.17591885441527444</v>
      </c>
      <c r="F106" s="2346">
        <f>0.7371/F101</f>
        <v>0.17591885441527444</v>
      </c>
      <c r="G106" s="2346">
        <f>0.7371/G101</f>
        <v>0.17591885441527444</v>
      </c>
      <c r="H106" s="2346">
        <f>0.7371/H101</f>
        <v>0.17591885441527444</v>
      </c>
      <c r="I106" s="2346">
        <f>0.7371/I101</f>
        <v>0.17591885441527444</v>
      </c>
      <c r="J106" s="2346">
        <f>0.5659/J101</f>
        <v>0.1350596658711217</v>
      </c>
      <c r="K106" s="2346">
        <f>0.5659/K101</f>
        <v>0.1350596658711217</v>
      </c>
      <c r="L106" s="2346">
        <f>0.5659/L101</f>
        <v>0.1350596658711217</v>
      </c>
      <c r="M106" s="2346">
        <f>0.5659/M101</f>
        <v>0.1350596658711217</v>
      </c>
      <c r="N106" s="2346">
        <f>0.5659/N101</f>
        <v>0.1350596658711217</v>
      </c>
    </row>
    <row r="107" spans="1:14">
      <c r="A107" s="3351"/>
      <c r="B107" s="2345">
        <v>6</v>
      </c>
      <c r="C107" s="2346">
        <f>0.7608/C101</f>
        <v>0.18157517899761336</v>
      </c>
      <c r="D107" s="2346">
        <f>0.7608/D101</f>
        <v>0.18157517899761336</v>
      </c>
      <c r="E107" s="2346">
        <f>0.6482/E101</f>
        <v>0.15470167064439139</v>
      </c>
      <c r="F107" s="2346">
        <f>0.6482/F101</f>
        <v>0.15470167064439139</v>
      </c>
      <c r="G107" s="2346">
        <f>0.6482/G101</f>
        <v>0.15470167064439139</v>
      </c>
      <c r="H107" s="2346">
        <f>0.6482/H101</f>
        <v>0.15470167064439139</v>
      </c>
      <c r="I107" s="2346">
        <f>0.6482/I101</f>
        <v>0.15470167064439139</v>
      </c>
      <c r="J107" s="2346">
        <f>0.4525/J101</f>
        <v>0.10799522673031026</v>
      </c>
      <c r="K107" s="2346">
        <f>0.4525/K101</f>
        <v>0.10799522673031026</v>
      </c>
      <c r="L107" s="2346">
        <f>0.4525/L101</f>
        <v>0.10799522673031026</v>
      </c>
      <c r="M107" s="2346">
        <f>0.4525/M101</f>
        <v>0.10799522673031026</v>
      </c>
      <c r="N107" s="2346">
        <f>0.4525/N101</f>
        <v>0.10799522673031026</v>
      </c>
    </row>
    <row r="108" spans="1:14">
      <c r="A108" s="3351"/>
      <c r="B108" s="3353" t="s">
        <v>2797</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52"/>
      <c r="B109" s="3354"/>
      <c r="C109" s="2348">
        <f>(-0.163*(C108^2)-0.59*C108+7617)*(10^(-4))/C101</f>
        <v>0.18178997613365155</v>
      </c>
      <c r="D109" s="2348">
        <f>(-0.163*(D108^2)-0.59*D108+7617)*(10^(-4))/D101</f>
        <v>0.18178997613365155</v>
      </c>
      <c r="E109" s="2348">
        <f>(-0.161*(E108^2)-7.509*E108+6533)*(10^(-4))/E101</f>
        <v>0.15591885441527445</v>
      </c>
      <c r="F109" s="2348">
        <f>(-0.161*(F108^2)-7.509*F108+6533)*(10^(-4))/F101</f>
        <v>0.15591885441527445</v>
      </c>
      <c r="G109" s="2348">
        <f>(-0.161*(G108^2)-7.509*G108+6533)*(10^(-4))/G101</f>
        <v>0.15591885441527445</v>
      </c>
      <c r="H109" s="2348">
        <f>(-0.161*(H108^2)-7.509*H108+6533)*(10^(-4))/H101</f>
        <v>0.15591885441527445</v>
      </c>
      <c r="I109" s="2348">
        <f>(-0.161*(I108^2)-7.509*I108+6533)*(10^(-4))/I101</f>
        <v>0.15591885441527445</v>
      </c>
      <c r="J109" s="2348">
        <f>(-0.214*(J108^2)-21.991*J108+4665)*(10^(-4))/J101</f>
        <v>0.11133651551312648</v>
      </c>
      <c r="K109" s="2348">
        <f>(-0.214*(K108^2)-21.991*K108+4665)*(10^(-4))/K101</f>
        <v>0.11133651551312648</v>
      </c>
      <c r="L109" s="2348">
        <f>(-0.214*(L108^2)-21.991*L108+4665)*(10^(-4))/L101</f>
        <v>0.11133651551312648</v>
      </c>
      <c r="M109" s="2348">
        <f>(-0.214*(M108^2)-21.991*M108+4665)*(10^(-4))/M101</f>
        <v>0.11133651551312648</v>
      </c>
      <c r="N109" s="2348">
        <f>(-0.214*(N108^2)-21.991*N108+4665)*(10^(-4))/N101</f>
        <v>0.11133651551312648</v>
      </c>
    </row>
    <row r="110" spans="1:14">
      <c r="A110" s="3348" t="s">
        <v>2798</v>
      </c>
      <c r="B110" s="3348"/>
      <c r="C110" s="3348"/>
      <c r="D110" s="3348"/>
      <c r="E110" s="3348"/>
      <c r="F110" s="3348"/>
      <c r="G110" s="3348"/>
      <c r="H110" s="3348"/>
      <c r="I110" s="3348"/>
      <c r="J110" s="3348"/>
      <c r="K110" s="2351"/>
      <c r="L110" s="2351"/>
      <c r="M110" s="2351"/>
      <c r="N110" s="2351"/>
    </row>
    <row r="112" spans="1:14" ht="13.5" thickBot="1"/>
    <row r="113" spans="1:13" ht="25.5" thickBot="1">
      <c r="A113" s="842" t="s">
        <v>2799</v>
      </c>
      <c r="B113" s="1197">
        <f>G3</f>
        <v>4.1900000000000004</v>
      </c>
      <c r="C113" s="843" t="s">
        <v>2800</v>
      </c>
      <c r="D113" s="844">
        <f>SUMPRODUCT((A115:A118=F113)*(B114:M114=H113)*B115:M118)</f>
        <v>0.80220000000000002</v>
      </c>
      <c r="E113" s="2187" t="s">
        <v>2635</v>
      </c>
      <c r="F113" s="2353" t="str">
        <f>E2</f>
        <v>办公</v>
      </c>
      <c r="G113" s="2187" t="s">
        <v>2636</v>
      </c>
      <c r="H113" s="2353" t="str">
        <f>G2</f>
        <v>七级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0.89410000000000001</v>
      </c>
      <c r="C115" s="849">
        <f>B115</f>
        <v>0.89410000000000001</v>
      </c>
      <c r="D115" s="849">
        <f>ROUND(0.8331-0.0109*B113,4)</f>
        <v>0.78739999999999999</v>
      </c>
      <c r="E115" s="849">
        <f>D115</f>
        <v>0.78739999999999999</v>
      </c>
      <c r="F115" s="849">
        <f>E115</f>
        <v>0.78739999999999999</v>
      </c>
      <c r="G115" s="849">
        <f>F115</f>
        <v>0.78739999999999999</v>
      </c>
      <c r="H115" s="849">
        <f>G115</f>
        <v>0.78739999999999999</v>
      </c>
      <c r="I115" s="849">
        <f>ROUND(0.689-0.0155*B113,4)</f>
        <v>0.62409999999999999</v>
      </c>
      <c r="J115" s="849">
        <f t="shared" ref="J115:M118" si="34">I115</f>
        <v>0.62409999999999999</v>
      </c>
      <c r="K115" s="849">
        <f t="shared" si="34"/>
        <v>0.62409999999999999</v>
      </c>
      <c r="L115" s="849">
        <f t="shared" si="34"/>
        <v>0.62409999999999999</v>
      </c>
      <c r="M115" s="850">
        <f t="shared" si="34"/>
        <v>0.62409999999999999</v>
      </c>
    </row>
    <row r="116" spans="1:13">
      <c r="A116" s="848" t="s">
        <v>2700</v>
      </c>
      <c r="B116" s="849">
        <f>ROUND(0.949-0.012*B113,4)</f>
        <v>0.89870000000000005</v>
      </c>
      <c r="C116" s="849">
        <f>B116</f>
        <v>0.89870000000000005</v>
      </c>
      <c r="D116" s="849">
        <f>ROUND(0.8567-0.013*B113,4)</f>
        <v>0.80220000000000002</v>
      </c>
      <c r="E116" s="849">
        <f t="shared" ref="E116:H117" si="35">D116</f>
        <v>0.80220000000000002</v>
      </c>
      <c r="F116" s="849">
        <f t="shared" si="35"/>
        <v>0.80220000000000002</v>
      </c>
      <c r="G116" s="849">
        <f t="shared" si="35"/>
        <v>0.80220000000000002</v>
      </c>
      <c r="H116" s="849">
        <f t="shared" si="35"/>
        <v>0.80220000000000002</v>
      </c>
      <c r="I116" s="849">
        <f>ROUND(0.7694-0.014*B113,4)</f>
        <v>0.7107</v>
      </c>
      <c r="J116" s="849">
        <f t="shared" si="34"/>
        <v>0.7107</v>
      </c>
      <c r="K116" s="849">
        <f t="shared" si="34"/>
        <v>0.7107</v>
      </c>
      <c r="L116" s="849">
        <f t="shared" si="34"/>
        <v>0.7107</v>
      </c>
      <c r="M116" s="850">
        <f t="shared" si="34"/>
        <v>0.7107</v>
      </c>
    </row>
    <row r="117" spans="1:13">
      <c r="A117" s="848" t="s">
        <v>2701</v>
      </c>
      <c r="B117" s="849">
        <f>ROUND(0.8808-0.006*B113,4)</f>
        <v>0.85570000000000002</v>
      </c>
      <c r="C117" s="849">
        <f>B117</f>
        <v>0.85570000000000002</v>
      </c>
      <c r="D117" s="849">
        <f>ROUND(0.8748-0.008*B113,4)</f>
        <v>0.84130000000000005</v>
      </c>
      <c r="E117" s="849">
        <f t="shared" si="35"/>
        <v>0.84130000000000005</v>
      </c>
      <c r="F117" s="849">
        <f t="shared" si="35"/>
        <v>0.84130000000000005</v>
      </c>
      <c r="G117" s="849">
        <f t="shared" si="35"/>
        <v>0.84130000000000005</v>
      </c>
      <c r="H117" s="849">
        <f t="shared" si="35"/>
        <v>0.84130000000000005</v>
      </c>
      <c r="I117" s="849">
        <f>ROUND(0.7412-0.0095*B113,4)</f>
        <v>0.70140000000000002</v>
      </c>
      <c r="J117" s="849">
        <f t="shared" si="34"/>
        <v>0.70140000000000002</v>
      </c>
      <c r="K117" s="849">
        <f t="shared" si="34"/>
        <v>0.70140000000000002</v>
      </c>
      <c r="L117" s="849">
        <f t="shared" si="34"/>
        <v>0.70140000000000002</v>
      </c>
      <c r="M117" s="850">
        <f t="shared" si="34"/>
        <v>0.70140000000000002</v>
      </c>
    </row>
    <row r="118" spans="1:13" ht="13.5" thickBot="1">
      <c r="A118" s="670" t="s">
        <v>2702</v>
      </c>
      <c r="B118" s="851">
        <f>ROUND(0.7275-0.01*B113,4)</f>
        <v>0.68559999999999999</v>
      </c>
      <c r="C118" s="851">
        <f>B118</f>
        <v>0.68559999999999999</v>
      </c>
      <c r="D118" s="851">
        <f>ROUND(0.7043-0.012*B113,4)</f>
        <v>0.65400000000000003</v>
      </c>
      <c r="E118" s="851">
        <f>D118</f>
        <v>0.65400000000000003</v>
      </c>
      <c r="F118" s="851">
        <f>E118</f>
        <v>0.65400000000000003</v>
      </c>
      <c r="G118" s="851">
        <f>ROUND(0.6299-0.0122*B113,4)</f>
        <v>0.57879999999999998</v>
      </c>
      <c r="H118" s="851">
        <f>G118</f>
        <v>0.57879999999999998</v>
      </c>
      <c r="I118" s="851">
        <f>ROUND(0.5667-0.0136*B113,4)</f>
        <v>0.50970000000000004</v>
      </c>
      <c r="J118" s="851">
        <f t="shared" si="34"/>
        <v>0.50970000000000004</v>
      </c>
      <c r="K118" s="851">
        <f t="shared" si="34"/>
        <v>0.50970000000000004</v>
      </c>
      <c r="L118" s="851">
        <f t="shared" si="34"/>
        <v>0.50970000000000004</v>
      </c>
      <c r="M118" s="852">
        <f t="shared" si="34"/>
        <v>0.50970000000000004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33" sqref="H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70</v>
      </c>
      <c r="E1" s="1546" t="s">
        <v>1352</v>
      </c>
      <c r="F1" s="1193">
        <f ca="1">J53</f>
        <v>34.25</v>
      </c>
      <c r="G1" s="1561">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62785</v>
      </c>
      <c r="C2" s="1570" t="s">
        <v>1481</v>
      </c>
      <c r="D2" s="1570"/>
      <c r="E2" s="1571"/>
      <c r="F2" s="1572"/>
      <c r="G2" s="2931"/>
      <c r="H2" s="2920"/>
      <c r="I2" s="2920"/>
      <c r="J2" s="2920"/>
      <c r="K2" s="2921"/>
      <c r="L2" s="2920"/>
      <c r="M2" s="2920"/>
    </row>
    <row r="3" spans="1:37" ht="18" customHeight="1" thickBot="1">
      <c r="A3" s="1573" t="s">
        <v>1482</v>
      </c>
      <c r="B3" s="1574">
        <f ca="1">IF(ISERROR(B2*10000/F43),0,ROUND(B2*10000/F43,0))</f>
        <v>19494</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3814</v>
      </c>
      <c r="D5" s="1547" t="s">
        <v>1367</v>
      </c>
      <c r="E5" s="1203"/>
      <c r="F5" s="1204"/>
      <c r="G5" s="1567"/>
      <c r="H5" s="305">
        <v>1</v>
      </c>
      <c r="I5" s="306" t="s">
        <v>1366</v>
      </c>
      <c r="J5" s="1202">
        <f ca="1">J6+J10+J12</f>
        <v>0</v>
      </c>
      <c r="K5" s="1547" t="s">
        <v>1367</v>
      </c>
      <c r="L5" s="1203"/>
      <c r="M5" s="1204"/>
    </row>
    <row r="6" spans="1:37" ht="18" customHeight="1">
      <c r="A6" s="1201" t="s">
        <v>1003</v>
      </c>
      <c r="B6" s="3363" t="s">
        <v>1368</v>
      </c>
      <c r="C6" s="1206">
        <f ca="1">ROUND(F6*F8*F7*(1-F9)/10000,0)</f>
        <v>3809</v>
      </c>
      <c r="D6" s="160" t="s">
        <v>2849</v>
      </c>
      <c r="E6" s="308" t="s">
        <v>1370</v>
      </c>
      <c r="F6" s="309">
        <f ca="1">INDIRECT("'数据-取费表'!u"&amp;$G$1)</f>
        <v>3.6</v>
      </c>
      <c r="G6" s="1567"/>
      <c r="H6" s="1201" t="s">
        <v>1003</v>
      </c>
      <c r="I6" s="3363" t="s">
        <v>1368</v>
      </c>
      <c r="J6" s="307">
        <f ca="1">ROUND(M6*M8*M7*(1-M9)/10000,0)</f>
        <v>0</v>
      </c>
      <c r="K6" s="160" t="s">
        <v>2848</v>
      </c>
      <c r="L6" s="308" t="s">
        <v>1370</v>
      </c>
      <c r="M6" s="309">
        <f ca="1">INDIRECT("'数据-取费表'!z"&amp;$G$1)</f>
        <v>0</v>
      </c>
    </row>
    <row r="7" spans="1:37" ht="18" customHeight="1">
      <c r="A7" s="1205"/>
      <c r="B7" s="3364"/>
      <c r="C7" s="1207"/>
      <c r="D7" s="313"/>
      <c r="E7" s="1208" t="s">
        <v>1371</v>
      </c>
      <c r="F7" s="309">
        <f ca="1">IF(INDIRECT("'数据-取费表'!ah"&amp;$G$1)="",INDIRECT("'数据-取费表'!k"&amp;$G$1),INDIRECT("'数据-取费表'!ah"&amp;$G$1))</f>
        <v>32206.960000000006</v>
      </c>
      <c r="G7" s="1567"/>
      <c r="H7" s="310"/>
      <c r="I7" s="3364"/>
      <c r="J7" s="312"/>
      <c r="K7" s="313"/>
      <c r="L7" s="308" t="s">
        <v>1371</v>
      </c>
      <c r="M7" s="309">
        <f ca="1">F7</f>
        <v>32206.960000000006</v>
      </c>
    </row>
    <row r="8" spans="1:37" ht="18" customHeight="1">
      <c r="A8" s="310"/>
      <c r="B8" s="3364"/>
      <c r="C8" s="312"/>
      <c r="D8" s="313"/>
      <c r="E8" s="308" t="s">
        <v>1372</v>
      </c>
      <c r="F8" s="309">
        <f ca="1">INDIRECT("'数据-取费表'!ai"&amp;$G$1)</f>
        <v>365</v>
      </c>
      <c r="G8" s="1567"/>
      <c r="H8" s="310"/>
      <c r="I8" s="3364"/>
      <c r="J8" s="312"/>
      <c r="K8" s="313"/>
      <c r="L8" s="308" t="s">
        <v>1372</v>
      </c>
      <c r="M8" s="309">
        <f ca="1">INDIRECT("'数据-取费表'!ai"&amp;$G$1)</f>
        <v>365</v>
      </c>
    </row>
    <row r="9" spans="1:37" ht="18" customHeight="1">
      <c r="A9" s="310"/>
      <c r="B9" s="3365"/>
      <c r="C9" s="312"/>
      <c r="D9" s="313"/>
      <c r="E9" s="308" t="s">
        <v>1373</v>
      </c>
      <c r="F9" s="318">
        <f ca="1">INDIRECT("'数据-取费表'!w"&amp;$G$1)</f>
        <v>0.1</v>
      </c>
      <c r="G9" s="1567"/>
      <c r="H9" s="310"/>
      <c r="I9" s="3365"/>
      <c r="J9" s="312"/>
      <c r="K9" s="313"/>
      <c r="L9" s="319" t="s">
        <v>1373</v>
      </c>
      <c r="M9" s="320">
        <f ca="1">INDIRECT("'数据-取费表'!ab"&amp;$G$1)</f>
        <v>0</v>
      </c>
    </row>
    <row r="10" spans="1:37" ht="18" customHeight="1">
      <c r="A10" s="1201" t="s">
        <v>1007</v>
      </c>
      <c r="B10" s="1548" t="s">
        <v>1374</v>
      </c>
      <c r="C10" s="322">
        <f ca="1">ROUND(IF(F10="押一",C6/12*F11,IF(F10="押二",C6/12*2*F11,IF(F10="押三",C6/12*3*F11,C11*F11))),0)</f>
        <v>5</v>
      </c>
      <c r="D10" s="1549" t="s">
        <v>2857</v>
      </c>
      <c r="E10" s="319" t="s">
        <v>1375</v>
      </c>
      <c r="F10" s="1276" t="s">
        <v>3094</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17908</v>
      </c>
      <c r="D13" s="1241" t="s">
        <v>1380</v>
      </c>
      <c r="E13" s="1241"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12952</v>
      </c>
      <c r="D14" s="1528" t="s">
        <v>1383</v>
      </c>
      <c r="E14" s="1525"/>
      <c r="F14" s="325"/>
      <c r="G14" s="1567"/>
      <c r="H14" s="1113" t="s">
        <v>1003</v>
      </c>
      <c r="I14" s="308" t="s">
        <v>1384</v>
      </c>
      <c r="J14" s="24">
        <f ca="1">C29</f>
        <v>19256</v>
      </c>
      <c r="K14" s="15"/>
      <c r="L14" s="916"/>
      <c r="M14" s="917"/>
    </row>
    <row r="15" spans="1:37" s="1580" customFormat="1" ht="18" customHeight="1" thickBot="1">
      <c r="A15" s="1113" t="s">
        <v>1004</v>
      </c>
      <c r="B15" s="308" t="s">
        <v>1385</v>
      </c>
      <c r="C15" s="24">
        <f ca="1">ROUND(C14*F15,0)</f>
        <v>389</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452</v>
      </c>
      <c r="K16" s="1247" t="s">
        <v>1390</v>
      </c>
      <c r="L16" s="1248"/>
      <c r="M16" s="1204"/>
    </row>
    <row r="17" spans="1:37" s="1580" customFormat="1" ht="18" customHeight="1">
      <c r="A17" s="1113" t="s">
        <v>1355</v>
      </c>
      <c r="B17" s="308" t="s">
        <v>1391</v>
      </c>
      <c r="C17" s="24">
        <f ca="1">ROUND(F17*(F43+INDIRECT("'数据-取费表'!S"&amp;$G$1))/10000,0)</f>
        <v>649</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163</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194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14184</v>
      </c>
      <c r="D19" s="136" t="s">
        <v>1401</v>
      </c>
      <c r="E19" s="1543"/>
      <c r="F19" s="26"/>
      <c r="G19" s="1567"/>
      <c r="H19" s="1113" t="s">
        <v>1004</v>
      </c>
      <c r="I19" s="308" t="s">
        <v>1402</v>
      </c>
      <c r="J19" s="24">
        <f ca="1">IF(K19="按租金收入计税",ROUND(J6*M19/(1+'数据-取费表'!C42),2),ROUND(C29*M19*0.7,2))</f>
        <v>161.75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284</v>
      </c>
      <c r="D20" s="329" t="s">
        <v>1405</v>
      </c>
      <c r="E20" s="308" t="s">
        <v>1387</v>
      </c>
      <c r="F20" s="328">
        <f>'数据-取费表'!B37</f>
        <v>0.02</v>
      </c>
      <c r="G20" s="1579"/>
      <c r="H20" s="1113" t="s">
        <v>1354</v>
      </c>
      <c r="I20" s="160" t="s">
        <v>1406</v>
      </c>
      <c r="J20" s="25">
        <f ca="1">ROUND(M20*M21/10000,2)</f>
        <v>0.77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5141.84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288.8</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629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-452</v>
      </c>
      <c r="K25" s="1255" t="s">
        <v>1429</v>
      </c>
      <c r="L25" s="1256"/>
      <c r="M25" s="1257"/>
    </row>
    <row r="26" spans="1:37">
      <c r="A26" s="1113" t="s">
        <v>1002</v>
      </c>
      <c r="B26" s="308" t="s">
        <v>1430</v>
      </c>
      <c r="C26" s="24">
        <f ca="1">ROUND((C19+C20)*F26,0)</f>
        <v>2894</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19256</v>
      </c>
      <c r="D29" s="1252"/>
      <c r="E29" s="1250"/>
      <c r="F29" s="1253"/>
      <c r="G29" s="1579"/>
      <c r="H29" s="340" t="s">
        <v>1001</v>
      </c>
      <c r="I29" s="341" t="s">
        <v>1444</v>
      </c>
      <c r="J29" s="342">
        <f ca="1">ROUND(J26/(1+F40)^F41,0)</f>
        <v>0</v>
      </c>
      <c r="K29" s="343" t="s">
        <v>1445</v>
      </c>
      <c r="L29" s="344"/>
      <c r="M29" s="345">
        <f ca="1">INDIRECT("'数据-取费表'!k"&amp;$G$1)</f>
        <v>32206.960000000006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1012</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639</v>
      </c>
      <c r="D31" s="1528" t="s">
        <v>1395</v>
      </c>
      <c r="E31" s="1527" t="s">
        <v>1446</v>
      </c>
      <c r="F31" s="2532"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3" t="s">
        <v>1002</v>
      </c>
      <c r="B32" s="308" t="s">
        <v>1398</v>
      </c>
      <c r="C32" s="24">
        <f ca="1">IF(项目基本情况!B11="自然人","——",ROUND(C6*F32/(1+'数据-取费表'!C42),2))</f>
        <v>203.15</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435.31</v>
      </c>
      <c r="D33" s="1553" t="s">
        <v>3091</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0.77</v>
      </c>
      <c r="D34" s="330" t="s">
        <v>1407</v>
      </c>
      <c r="E34" s="308" t="s">
        <v>1408</v>
      </c>
      <c r="F34" s="331">
        <f>'数据-取费表'!B52</f>
        <v>1.5</v>
      </c>
      <c r="G34" s="1567"/>
      <c r="H34" s="2922"/>
      <c r="I34" s="1581"/>
      <c r="J34" s="1582"/>
      <c r="K34" s="2927"/>
      <c r="L34" s="2928"/>
      <c r="M34" s="2928"/>
    </row>
    <row r="35" spans="1:18" ht="18" customHeight="1">
      <c r="A35" s="1263"/>
      <c r="B35" s="1261"/>
      <c r="C35" s="29"/>
      <c r="D35" s="333"/>
      <c r="E35" s="308" t="s">
        <v>1412</v>
      </c>
      <c r="F35" s="309">
        <f ca="1">INDIRECT("'数据-取费表'!r"&amp;$G$1)</f>
        <v>5141.84</v>
      </c>
      <c r="G35" s="1567"/>
      <c r="H35" s="2922"/>
      <c r="I35" s="1581"/>
      <c r="J35" s="1582"/>
      <c r="K35" s="2926"/>
      <c r="L35" s="2925"/>
      <c r="M35" s="2925"/>
    </row>
    <row r="36" spans="1:18" ht="18" customHeight="1">
      <c r="A36" s="1262" t="s">
        <v>1007</v>
      </c>
      <c r="B36" s="308" t="s">
        <v>1414</v>
      </c>
      <c r="C36" s="24">
        <f ca="1">ROUND(C29*F36,1)</f>
        <v>288.8</v>
      </c>
      <c r="D36" s="1527" t="s">
        <v>1447</v>
      </c>
      <c r="E36" s="308" t="s">
        <v>1387</v>
      </c>
      <c r="F36" s="334">
        <f ca="1">INDIRECT("'数据-取费表'!Ak"&amp;$G$1)</f>
        <v>1.4999999999999999E-2</v>
      </c>
      <c r="G36" s="1567"/>
      <c r="H36" s="2925"/>
      <c r="I36" s="1581"/>
      <c r="J36" s="1582"/>
      <c r="K36" s="2766"/>
      <c r="L36" s="2925"/>
      <c r="M36" s="2925"/>
    </row>
    <row r="37" spans="1:18" ht="18" customHeight="1">
      <c r="A37" s="1113" t="s">
        <v>1043</v>
      </c>
      <c r="B37" s="308" t="s">
        <v>1418</v>
      </c>
      <c r="C37" s="24">
        <f ca="1">ROUND(C13*F37,1)</f>
        <v>26.9</v>
      </c>
      <c r="D37" s="1527" t="s">
        <v>1419</v>
      </c>
      <c r="E37" s="308" t="s">
        <v>1420</v>
      </c>
      <c r="F37" s="336">
        <f ca="1">INDIRECT("'数据-取费表'!Al"&amp;$G$1)</f>
        <v>1.5E-3</v>
      </c>
      <c r="G37" s="1567"/>
      <c r="H37" s="2925"/>
      <c r="I37" s="1581"/>
      <c r="J37" s="1582"/>
      <c r="K37" s="2766"/>
      <c r="L37" s="2925"/>
      <c r="M37" s="2925"/>
    </row>
    <row r="38" spans="1:18" ht="18" customHeight="1" thickBot="1">
      <c r="A38" s="1249" t="s">
        <v>1358</v>
      </c>
      <c r="B38" s="1250" t="s">
        <v>1404</v>
      </c>
      <c r="C38" s="1251">
        <f ca="1">ROUND(C5*F38,1)</f>
        <v>57.2</v>
      </c>
      <c r="D38" s="1252" t="s">
        <v>1424</v>
      </c>
      <c r="E38" s="1250" t="s">
        <v>1420</v>
      </c>
      <c r="F38" s="1246">
        <f ca="1">INDIRECT("'数据-取费表'!Am"&amp;$G$1)</f>
        <v>1.4999999999999999E-2</v>
      </c>
      <c r="G38" s="1567"/>
      <c r="H38" s="2925"/>
      <c r="I38" s="1581"/>
      <c r="J38" s="1582"/>
      <c r="K38" s="2929"/>
      <c r="L38" s="2925"/>
      <c r="M38" s="2925"/>
    </row>
    <row r="39" spans="1:18" ht="24.6" customHeight="1" thickTop="1">
      <c r="A39" s="1239" t="s">
        <v>999</v>
      </c>
      <c r="B39" s="1254" t="s">
        <v>1448</v>
      </c>
      <c r="C39" s="316">
        <f ca="1">C5-C30</f>
        <v>2802</v>
      </c>
      <c r="D39" s="1255" t="s">
        <v>1449</v>
      </c>
      <c r="E39" s="1256"/>
      <c r="F39" s="1257"/>
      <c r="G39" s="1567"/>
      <c r="H39" s="2925"/>
      <c r="I39" s="1581"/>
      <c r="J39" s="1582"/>
      <c r="K39" s="2929"/>
      <c r="L39" s="2925"/>
      <c r="M39" s="2925"/>
    </row>
    <row r="40" spans="1:18" ht="18" customHeight="1">
      <c r="A40" s="305" t="s">
        <v>1000</v>
      </c>
      <c r="B40" s="306" t="s">
        <v>1450</v>
      </c>
      <c r="C40" s="307">
        <f ca="1">ROUND(C39*(1-((1+F42)/(1+F40))^F41)/(F40-F42),0)</f>
        <v>62785</v>
      </c>
      <c r="D40" s="330" t="s">
        <v>1434</v>
      </c>
      <c r="E40" s="308" t="s">
        <v>1435</v>
      </c>
      <c r="F40" s="318">
        <f ca="1">INDIRECT("'数据-取费表'!I"&amp;$G$1)</f>
        <v>5.5E-2</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34.25</v>
      </c>
      <c r="G41" s="1567"/>
      <c r="H41" s="1352"/>
      <c r="I41" s="1581"/>
      <c r="J41" s="1582"/>
      <c r="K41" s="2766"/>
      <c r="L41" s="1352"/>
      <c r="M41" s="1352"/>
    </row>
    <row r="42" spans="1:18" ht="18" customHeight="1">
      <c r="A42" s="314"/>
      <c r="B42" s="315"/>
      <c r="C42" s="316"/>
      <c r="D42" s="333"/>
      <c r="E42" s="308" t="s">
        <v>1442</v>
      </c>
      <c r="F42" s="318">
        <f ca="1">INDIRECT("'数据-取费表'!v"&amp;$G$1)</f>
        <v>0.03</v>
      </c>
      <c r="G42" s="1567"/>
      <c r="H42" s="1352"/>
      <c r="I42" s="1581"/>
      <c r="J42" s="1582"/>
      <c r="K42" s="2766"/>
      <c r="L42" s="1352"/>
      <c r="M42" s="1352"/>
    </row>
    <row r="43" spans="1:18" ht="18" customHeight="1" thickBot="1">
      <c r="A43" s="340" t="s">
        <v>1001</v>
      </c>
      <c r="B43" s="341" t="s">
        <v>1452</v>
      </c>
      <c r="C43" s="342">
        <f ca="1">ROUND(C40*10000/F43,0)</f>
        <v>19494</v>
      </c>
      <c r="D43" s="343" t="s">
        <v>1453</v>
      </c>
      <c r="E43" s="344" t="s">
        <v>1454</v>
      </c>
      <c r="F43" s="345">
        <f ca="1">INDIRECT("'数据-取费表'!k"&amp;$G$1)</f>
        <v>32206.960000000006</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-92329</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3092</v>
      </c>
      <c r="K47" s="1599" t="s">
        <v>1492</v>
      </c>
      <c r="L47" s="1600">
        <f ca="1">INDIRECT("'数据-取费表'!d"&amp;$G$1)</f>
        <v>50</v>
      </c>
      <c r="M47" s="1563" t="str">
        <f>IF(ISNUMBER(FIND("住宅",C1)),"住宅","非住宅")</f>
        <v>非住宅</v>
      </c>
      <c r="O47" s="1601" t="s">
        <v>1008</v>
      </c>
      <c r="P47" s="1602" t="s">
        <v>1493</v>
      </c>
      <c r="Q47" s="1603">
        <f ca="1">C40+J29</f>
        <v>62785</v>
      </c>
      <c r="R47" s="1603" t="s">
        <v>1494</v>
      </c>
    </row>
    <row r="48" spans="1:18" s="1567" customFormat="1" ht="28.5" thickBot="1">
      <c r="A48" s="1270" t="s">
        <v>1103</v>
      </c>
      <c r="B48" s="306" t="s">
        <v>1366</v>
      </c>
      <c r="C48" s="1542">
        <f ca="1">C49+C53+C55</f>
        <v>0</v>
      </c>
      <c r="D48" s="1272"/>
      <c r="E48" s="1273"/>
      <c r="F48" s="1093"/>
      <c r="G48" s="731"/>
      <c r="H48" s="732"/>
      <c r="I48" s="1604" t="s">
        <v>1495</v>
      </c>
      <c r="J48" s="1605" t="s">
        <v>3093</v>
      </c>
      <c r="K48" s="1606" t="s">
        <v>1496</v>
      </c>
      <c r="L48" s="1607">
        <f ca="1">INDIRECT("'数据-取费表'!f"&amp;$G$1)</f>
        <v>34.25</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2017</v>
      </c>
      <c r="K49" s="1606" t="s">
        <v>1500</v>
      </c>
      <c r="L49" s="1610"/>
      <c r="O49" s="1611" t="s">
        <v>1010</v>
      </c>
      <c r="P49" s="1602" t="s">
        <v>1501</v>
      </c>
      <c r="Q49" s="1603">
        <f ca="1">C29</f>
        <v>19256</v>
      </c>
      <c r="R49" s="1603" t="s">
        <v>1494</v>
      </c>
    </row>
    <row r="50" spans="1:18" s="1567" customFormat="1" ht="13.5" thickBot="1">
      <c r="A50" s="1107"/>
      <c r="B50" s="1110"/>
      <c r="C50" s="1278"/>
      <c r="D50" s="1084"/>
      <c r="E50" s="1187" t="s">
        <v>1371</v>
      </c>
      <c r="F50" s="1188">
        <f ca="1">F7</f>
        <v>32206.960000000006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56</v>
      </c>
      <c r="K51" s="1617" t="s">
        <v>1506</v>
      </c>
      <c r="L51" s="1618">
        <f ca="1">ROUND(-PV(INDIRECT("'数据-取费表'!h"&amp;$G$1),J51,(C39-C13*C76),0),0)</f>
        <v>25605</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34.25</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34.25</v>
      </c>
      <c r="K53" s="3361" t="s">
        <v>1513</v>
      </c>
      <c r="L53" s="3362"/>
      <c r="O53" s="1601" t="s">
        <v>1014</v>
      </c>
      <c r="P53" s="1602" t="s">
        <v>1514</v>
      </c>
      <c r="Q53" s="1603">
        <f ca="1">Q47+Q48</f>
        <v>62785</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17908</v>
      </c>
      <c r="D56" s="1630"/>
      <c r="E56" s="1631"/>
      <c r="F56" s="1623"/>
      <c r="I56" s="1632" t="s">
        <v>1519</v>
      </c>
      <c r="J56" s="1633" t="s">
        <v>3078</v>
      </c>
      <c r="K56" s="1604" t="s">
        <v>1520</v>
      </c>
      <c r="L56" s="1607" t="str">
        <f ca="1">IF(L48&lt;J51,"——",L48-J53)</f>
        <v>——</v>
      </c>
      <c r="O56" s="1601" t="s">
        <v>1008</v>
      </c>
      <c r="P56" s="1602" t="s">
        <v>1493</v>
      </c>
      <c r="Q56" s="1603">
        <f ca="1">C40+J29</f>
        <v>62785</v>
      </c>
      <c r="R56" s="1603" t="s">
        <v>1494</v>
      </c>
    </row>
    <row r="57" spans="1:18" s="1567" customFormat="1" ht="24.75" thickBot="1">
      <c r="A57" s="1634"/>
      <c r="B57" s="1081" t="s">
        <v>1443</v>
      </c>
      <c r="C57" s="244">
        <f ca="1">C29</f>
        <v>19256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1934</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1618</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1617.5</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0.77</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62785</v>
      </c>
      <c r="R62" s="1603" t="s">
        <v>1015</v>
      </c>
    </row>
    <row r="63" spans="1:18" s="1567" customFormat="1" ht="13.5" thickBot="1">
      <c r="A63" s="332"/>
      <c r="B63" s="1087"/>
      <c r="C63" s="29"/>
      <c r="D63" s="1097"/>
      <c r="E63" s="1081" t="s">
        <v>1464</v>
      </c>
      <c r="F63" s="309">
        <f t="shared" ca="1" si="0"/>
        <v>5141.84</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288.8</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26.9</v>
      </c>
      <c r="D65" s="1095" t="s">
        <v>1419</v>
      </c>
      <c r="E65" s="1081" t="s">
        <v>1420</v>
      </c>
      <c r="F65" s="336">
        <f t="shared" ca="1" si="0"/>
        <v>1.5E-3</v>
      </c>
      <c r="I65" s="1645" t="s">
        <v>1544</v>
      </c>
      <c r="J65" s="1646">
        <v>40</v>
      </c>
      <c r="K65" s="1646">
        <v>30</v>
      </c>
      <c r="L65" s="1646">
        <v>50</v>
      </c>
      <c r="M65" s="1648">
        <v>0.02</v>
      </c>
      <c r="O65" s="1601" t="s">
        <v>1008</v>
      </c>
      <c r="P65" s="1602" t="s">
        <v>1545</v>
      </c>
      <c r="Q65" s="1603">
        <f ca="1">C40+J29</f>
        <v>62785</v>
      </c>
      <c r="R65" s="1603" t="s">
        <v>1494</v>
      </c>
    </row>
    <row r="66" spans="1:18" s="1567" customFormat="1" ht="16.5" thickBot="1">
      <c r="A66" s="1113" t="s">
        <v>1469</v>
      </c>
      <c r="B66" s="1081" t="s">
        <v>1404</v>
      </c>
      <c r="C66" s="24">
        <f ca="1">ROUND(C48*F66,1)</f>
        <v>0</v>
      </c>
      <c r="D66" s="1095" t="s">
        <v>1470</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-1934</v>
      </c>
      <c r="D67" s="1094" t="s">
        <v>1429</v>
      </c>
      <c r="E67" s="1099"/>
      <c r="F67" s="1100"/>
      <c r="O67" s="1611" t="s">
        <v>1010</v>
      </c>
      <c r="P67" s="1602" t="s">
        <v>1527</v>
      </c>
      <c r="Q67" s="1649">
        <f ca="1">L51</f>
        <v>25605</v>
      </c>
      <c r="R67" s="1603" t="s">
        <v>1547</v>
      </c>
    </row>
    <row r="68" spans="1:18" s="1567" customFormat="1" ht="16.5" thickBot="1">
      <c r="A68" s="1078" t="s">
        <v>1000</v>
      </c>
      <c r="B68" s="1079" t="s">
        <v>1450</v>
      </c>
      <c r="C68" s="307">
        <f ca="1">ROUND(C67*(1-((1+F70)/(1+F68))^F69)/(F68-F70),0)</f>
        <v>-29544</v>
      </c>
      <c r="D68" s="1096" t="s">
        <v>1434</v>
      </c>
      <c r="E68" s="1081" t="s">
        <v>1435</v>
      </c>
      <c r="F68" s="318">
        <f ca="1">F40</f>
        <v>5.5E-2</v>
      </c>
      <c r="O68" s="1611" t="s">
        <v>1011</v>
      </c>
      <c r="P68" s="1650" t="s">
        <v>1548</v>
      </c>
      <c r="Q68" s="1603">
        <f ca="1">ROUND(Q69-Q70*Q71,0)</f>
        <v>1369</v>
      </c>
      <c r="R68" s="1603" t="s">
        <v>1019</v>
      </c>
    </row>
    <row r="69" spans="1:18" s="1567" customFormat="1" ht="13.5" thickBot="1">
      <c r="A69" s="1082"/>
      <c r="B69" s="1083"/>
      <c r="C69" s="312"/>
      <c r="D69" s="1101" t="s">
        <v>1438</v>
      </c>
      <c r="E69" s="1081" t="s">
        <v>1439</v>
      </c>
      <c r="F69" s="339">
        <f ca="1">F41</f>
        <v>34.25</v>
      </c>
      <c r="O69" s="1611" t="s">
        <v>1016</v>
      </c>
      <c r="P69" s="1650" t="s">
        <v>1549</v>
      </c>
      <c r="Q69" s="1603">
        <f ca="1">C39</f>
        <v>2802</v>
      </c>
      <c r="R69" s="1603" t="s">
        <v>1494</v>
      </c>
    </row>
    <row r="70" spans="1:18" s="1567" customFormat="1" ht="13.5" thickBot="1">
      <c r="A70" s="1085"/>
      <c r="B70" s="1086"/>
      <c r="C70" s="316"/>
      <c r="D70" s="1097"/>
      <c r="E70" s="1081" t="s">
        <v>1442</v>
      </c>
      <c r="F70" s="1185"/>
      <c r="O70" s="1611" t="s">
        <v>1017</v>
      </c>
      <c r="P70" s="1650" t="s">
        <v>1550</v>
      </c>
      <c r="Q70" s="1603">
        <f ca="1">C13</f>
        <v>17908</v>
      </c>
      <c r="R70" s="1603" t="s">
        <v>1494</v>
      </c>
    </row>
    <row r="71" spans="1:18" s="1567" customFormat="1" ht="13.5" thickBot="1">
      <c r="A71" s="1102" t="s">
        <v>1001</v>
      </c>
      <c r="B71" s="1103" t="s">
        <v>1452</v>
      </c>
      <c r="C71" s="342">
        <f ca="1">ROUND(C68*10000/F71,0)</f>
        <v>-9173</v>
      </c>
      <c r="D71" s="1104" t="s">
        <v>1453</v>
      </c>
      <c r="E71" s="1105" t="s">
        <v>1454</v>
      </c>
      <c r="F71" s="345">
        <f ca="1">F43</f>
        <v>32206.960000000006</v>
      </c>
      <c r="O71" s="1611" t="s">
        <v>1018</v>
      </c>
      <c r="P71" s="1650" t="s">
        <v>1551</v>
      </c>
      <c r="Q71" s="1614">
        <f ca="1">C76</f>
        <v>0.08</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1433</v>
      </c>
      <c r="D75" s="1567"/>
      <c r="E75" s="1567"/>
      <c r="F75" s="1567"/>
      <c r="K75" s="1585"/>
      <c r="L75" s="1567"/>
      <c r="O75" s="1601" t="s">
        <v>1014</v>
      </c>
      <c r="P75" s="1602" t="s">
        <v>1514</v>
      </c>
      <c r="Q75" s="1603">
        <f ca="1">Q65+Q66</f>
        <v>62785</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0.48899999999999999</v>
      </c>
    </row>
    <row r="80" spans="1:18">
      <c r="B80" s="346" t="s">
        <v>1476</v>
      </c>
      <c r="C80" s="280">
        <f ca="1">ROUND(C75/C39,3)</f>
        <v>0.51100000000000001</v>
      </c>
    </row>
    <row r="81" spans="2:3">
      <c r="B81" s="276" t="s">
        <v>1477</v>
      </c>
      <c r="C81" s="244"/>
    </row>
    <row r="82" spans="2:3">
      <c r="B82" s="279" t="s">
        <v>1478</v>
      </c>
      <c r="C82" s="281">
        <f ca="1">1-C83</f>
        <v>0.71500000000000008</v>
      </c>
    </row>
    <row r="83" spans="2:3">
      <c r="B83" s="279" t="s">
        <v>1479</v>
      </c>
      <c r="C83" s="280">
        <f ca="1">ROUND(C13/C40,3)</f>
        <v>0.28499999999999998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8</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63" t="s">
        <v>1368</v>
      </c>
      <c r="C6" s="1206">
        <f ca="1">ROUND(F6*F8*F7*(1-F9),0)</f>
        <v>0</v>
      </c>
      <c r="D6" s="160" t="s">
        <v>2846</v>
      </c>
      <c r="E6" s="308" t="s">
        <v>1370</v>
      </c>
      <c r="F6" s="309">
        <f ca="1">INDIRECT("'数据-取费表'!u"&amp;$G$1)</f>
        <v>0</v>
      </c>
      <c r="G6" s="1567"/>
      <c r="H6" s="1201" t="s">
        <v>1003</v>
      </c>
      <c r="I6" s="3363" t="s">
        <v>1368</v>
      </c>
      <c r="J6" s="307">
        <f ca="1">ROUND(M6*M8*M7*(1-M9),0)</f>
        <v>0</v>
      </c>
      <c r="K6" s="1559" t="s">
        <v>2847</v>
      </c>
      <c r="L6" s="308" t="s">
        <v>1370</v>
      </c>
      <c r="M6" s="309">
        <f ca="1">INDIRECT("'数据-取费表'!z"&amp;$G$1)</f>
        <v>0</v>
      </c>
    </row>
    <row r="7" spans="1:37" ht="18" customHeight="1">
      <c r="A7" s="1205"/>
      <c r="B7" s="3364"/>
      <c r="C7" s="1207"/>
      <c r="D7" s="313"/>
      <c r="E7" s="1208" t="s">
        <v>1371</v>
      </c>
      <c r="F7" s="309">
        <f ca="1">IF(INDIRECT("'数据-取费表'!ah"&amp;$G$1)="",INDIRECT("'数据-取费表'!k"&amp;$G$1),INDIRECT("'数据-取费表'!ah"&amp;$G$1))</f>
        <v>0</v>
      </c>
      <c r="G7" s="1567"/>
      <c r="H7" s="310"/>
      <c r="I7" s="3364"/>
      <c r="J7" s="312"/>
      <c r="K7" s="313"/>
      <c r="L7" s="308" t="s">
        <v>1371</v>
      </c>
      <c r="M7" s="309">
        <f ca="1">F7</f>
        <v>0</v>
      </c>
    </row>
    <row r="8" spans="1:37" ht="18" customHeight="1">
      <c r="A8" s="310"/>
      <c r="B8" s="3364"/>
      <c r="C8" s="312"/>
      <c r="D8" s="313"/>
      <c r="E8" s="308" t="s">
        <v>1372</v>
      </c>
      <c r="F8" s="309">
        <f ca="1">INDIRECT("'数据-取费表'!ai"&amp;$G$1)</f>
        <v>0</v>
      </c>
      <c r="G8" s="1567"/>
      <c r="H8" s="310"/>
      <c r="I8" s="3364"/>
      <c r="J8" s="312"/>
      <c r="K8" s="313"/>
      <c r="L8" s="308" t="s">
        <v>1372</v>
      </c>
      <c r="M8" s="309">
        <f ca="1">INDIRECT("'数据-取费表'!ai"&amp;$G$1)</f>
        <v>0</v>
      </c>
    </row>
    <row r="9" spans="1:37" ht="18" customHeight="1">
      <c r="A9" s="310"/>
      <c r="B9" s="3365"/>
      <c r="C9" s="312"/>
      <c r="D9" s="313"/>
      <c r="E9" s="308" t="s">
        <v>1373</v>
      </c>
      <c r="F9" s="318">
        <f ca="1">INDIRECT("'数据-取费表'!w"&amp;$G$1)</f>
        <v>0</v>
      </c>
      <c r="G9" s="1567"/>
      <c r="H9" s="310"/>
      <c r="I9" s="3365"/>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5"/>
      <c r="I33" s="1581"/>
      <c r="J33" s="1582"/>
      <c r="K33" s="2926"/>
      <c r="L33" s="2925"/>
      <c r="M33" s="2925"/>
    </row>
    <row r="34" spans="1:18" ht="18" customHeight="1">
      <c r="A34" s="1201" t="s">
        <v>1354</v>
      </c>
      <c r="B34" s="160" t="s">
        <v>1406</v>
      </c>
      <c r="C34" s="25">
        <f ca="1">IF(项目基本情况!B11="自然人","——",ROUND(F34*F35,))</f>
        <v>0</v>
      </c>
      <c r="D34" s="330" t="s">
        <v>1407</v>
      </c>
      <c r="E34" s="308" t="s">
        <v>1408</v>
      </c>
      <c r="F34" s="331">
        <f>'数据-取费表'!B52</f>
        <v>1.5</v>
      </c>
      <c r="G34" s="1567"/>
      <c r="H34" s="2922"/>
      <c r="I34" s="1581"/>
      <c r="J34" s="1582"/>
      <c r="K34" s="2927"/>
      <c r="L34" s="2928"/>
      <c r="M34" s="2928"/>
    </row>
    <row r="35" spans="1:18" ht="18" customHeight="1">
      <c r="A35" s="1263"/>
      <c r="B35" s="1261"/>
      <c r="C35" s="29"/>
      <c r="D35" s="333"/>
      <c r="E35" s="308" t="s">
        <v>1412</v>
      </c>
      <c r="F35" s="309">
        <f ca="1">INDIRECT("'数据-取费表'!r"&amp;$G$1)</f>
        <v>0</v>
      </c>
      <c r="G35" s="1567"/>
      <c r="H35" s="2922"/>
      <c r="I35" s="1581"/>
      <c r="J35" s="1582"/>
      <c r="K35" s="2926"/>
      <c r="L35" s="2925"/>
      <c r="M35" s="2925"/>
    </row>
    <row r="36" spans="1:18" ht="18" customHeight="1">
      <c r="A36" s="1262" t="s">
        <v>1007</v>
      </c>
      <c r="B36" s="308" t="s">
        <v>1414</v>
      </c>
      <c r="C36" s="24">
        <f ca="1">ROUND(C29*F36,0)</f>
        <v>0</v>
      </c>
      <c r="D36" s="1527" t="s">
        <v>1447</v>
      </c>
      <c r="E36" s="308" t="s">
        <v>1387</v>
      </c>
      <c r="F36" s="334">
        <f ca="1">INDIRECT("'数据-取费表'!Ak"&amp;$G$1)</f>
        <v>0</v>
      </c>
      <c r="G36" s="1567"/>
      <c r="H36" s="2925"/>
      <c r="I36" s="1581"/>
      <c r="J36" s="1582"/>
      <c r="K36" s="2766"/>
      <c r="L36" s="2925"/>
      <c r="M36" s="2925"/>
    </row>
    <row r="37" spans="1:18" ht="18" customHeight="1">
      <c r="A37" s="1113" t="s">
        <v>1043</v>
      </c>
      <c r="B37" s="308" t="s">
        <v>1418</v>
      </c>
      <c r="C37" s="24">
        <f ca="1">ROUND(C13*F37,0)</f>
        <v>0</v>
      </c>
      <c r="D37" s="1527" t="s">
        <v>1419</v>
      </c>
      <c r="E37" s="308" t="s">
        <v>1420</v>
      </c>
      <c r="F37" s="336">
        <f ca="1">INDIRECT("'数据-取费表'!Al"&amp;$G$1)</f>
        <v>0</v>
      </c>
      <c r="G37" s="1567"/>
      <c r="H37" s="2925"/>
      <c r="I37" s="1581"/>
      <c r="J37" s="1582"/>
      <c r="K37" s="2766"/>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7"/>
      <c r="H38" s="2925"/>
      <c r="I38" s="1581"/>
      <c r="J38" s="1582"/>
      <c r="K38" s="2929"/>
      <c r="L38" s="2925"/>
      <c r="M38" s="2925"/>
    </row>
    <row r="39" spans="1:18" ht="24.6" customHeight="1" thickTop="1">
      <c r="A39" s="1239" t="s">
        <v>999</v>
      </c>
      <c r="B39" s="1254" t="s">
        <v>1448</v>
      </c>
      <c r="C39" s="316">
        <f ca="1">C5-C30</f>
        <v>0</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6"/>
      <c r="L41" s="1352"/>
      <c r="M41" s="1352"/>
    </row>
    <row r="42" spans="1:18" ht="18" customHeight="1">
      <c r="A42" s="314"/>
      <c r="B42" s="315"/>
      <c r="C42" s="316"/>
      <c r="D42" s="333"/>
      <c r="E42" s="308" t="s">
        <v>1442</v>
      </c>
      <c r="F42" s="318">
        <f ca="1">INDIRECT("'数据-取费表'!v"&amp;$G$1)</f>
        <v>0</v>
      </c>
      <c r="G42" s="1567"/>
      <c r="H42" s="1352"/>
      <c r="I42" s="1581"/>
      <c r="J42" s="1582"/>
      <c r="K42" s="2766"/>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f ca="1">IF(M47="住宅",IF(D1="——",MAX(J51,L48),MAX(J51,L48-'数据-取费表'!B24)),IF(D1="——",MIN(J51,L48),MIN(J51,L48-'数据-取费表'!B24)))</f>
        <v>0</v>
      </c>
      <c r="K53" s="3361" t="s">
        <v>1513</v>
      </c>
      <c r="L53" s="3362"/>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9A2B-7B41-4A11-9941-4FA27FF7AD28}">
  <sheetPr>
    <tabColor rgb="FF92D050"/>
  </sheetPr>
  <dimension ref="A1:AK83"/>
  <sheetViews>
    <sheetView view="pageBreakPreview" zoomScale="80" zoomScaleNormal="70" zoomScaleSheetLayoutView="80" workbookViewId="0">
      <selection activeCell="G28" sqref="G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48</v>
      </c>
      <c r="D1" s="1545" t="s">
        <v>70</v>
      </c>
      <c r="E1" s="1546" t="s">
        <v>1352</v>
      </c>
      <c r="F1" s="1193">
        <f ca="1">J53</f>
        <v>34.25</v>
      </c>
      <c r="G1" s="1561">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755</v>
      </c>
      <c r="C2" s="1570" t="s">
        <v>1481</v>
      </c>
      <c r="D2" s="1570"/>
      <c r="E2" s="1571"/>
      <c r="F2" s="1572"/>
      <c r="G2" s="2931"/>
      <c r="H2" s="2920"/>
      <c r="I2" s="2920"/>
      <c r="J2" s="2920"/>
      <c r="K2" s="2921"/>
      <c r="L2" s="2920"/>
      <c r="M2" s="2920"/>
    </row>
    <row r="3" spans="1:37" ht="18" customHeight="1" thickBot="1">
      <c r="A3" s="1573" t="s">
        <v>1482</v>
      </c>
      <c r="B3" s="1574">
        <f ca="1">IF(ISERROR(B2*10000/F43),0,ROUND(B2*10000/F43,0))</f>
        <v>1046</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68</v>
      </c>
      <c r="D5" s="1547" t="s">
        <v>1367</v>
      </c>
      <c r="E5" s="1203"/>
      <c r="F5" s="1204"/>
      <c r="G5" s="1567"/>
      <c r="H5" s="305">
        <v>1</v>
      </c>
      <c r="I5" s="306" t="s">
        <v>1366</v>
      </c>
      <c r="J5" s="1202">
        <f ca="1">J6+J10+J12</f>
        <v>0</v>
      </c>
      <c r="K5" s="1547" t="s">
        <v>1367</v>
      </c>
      <c r="L5" s="1203"/>
      <c r="M5" s="1204"/>
    </row>
    <row r="6" spans="1:37" ht="18" customHeight="1">
      <c r="A6" s="1201" t="s">
        <v>1003</v>
      </c>
      <c r="B6" s="3363" t="s">
        <v>1368</v>
      </c>
      <c r="C6" s="1206">
        <f ca="1">ROUND(F6*F8*F7*(1-F9)/10000,0)</f>
        <v>68</v>
      </c>
      <c r="D6" s="160" t="s">
        <v>2849</v>
      </c>
      <c r="E6" s="308" t="s">
        <v>1370</v>
      </c>
      <c r="F6" s="309">
        <f ca="1">INDIRECT("'数据-取费表'!u"&amp;$G$1)</f>
        <v>500</v>
      </c>
      <c r="G6" s="1567"/>
      <c r="H6" s="1201" t="s">
        <v>1003</v>
      </c>
      <c r="I6" s="3363" t="s">
        <v>1368</v>
      </c>
      <c r="J6" s="307">
        <f ca="1">ROUND(M6*M8*M7*(1-M9)/10000,0)</f>
        <v>0</v>
      </c>
      <c r="K6" s="160" t="s">
        <v>2848</v>
      </c>
      <c r="L6" s="308" t="s">
        <v>1370</v>
      </c>
      <c r="M6" s="309">
        <f ca="1">INDIRECT("'数据-取费表'!z"&amp;$G$1)</f>
        <v>0</v>
      </c>
    </row>
    <row r="7" spans="1:37" ht="18" customHeight="1">
      <c r="A7" s="1205"/>
      <c r="B7" s="3364"/>
      <c r="C7" s="1207"/>
      <c r="D7" s="313"/>
      <c r="E7" s="3066" t="s">
        <v>1371</v>
      </c>
      <c r="F7" s="309">
        <f ca="1">IF(INDIRECT("'数据-取费表'!ah"&amp;$G$1)="",INDIRECT("'数据-取费表'!k"&amp;$G$1),INDIRECT("'数据-取费表'!ah"&amp;$G$1))</f>
        <v>126</v>
      </c>
      <c r="G7" s="1567"/>
      <c r="H7" s="310"/>
      <c r="I7" s="3364"/>
      <c r="J7" s="312"/>
      <c r="K7" s="313"/>
      <c r="L7" s="308" t="s">
        <v>1371</v>
      </c>
      <c r="M7" s="309">
        <f ca="1">F7</f>
        <v>126</v>
      </c>
    </row>
    <row r="8" spans="1:37" ht="18" customHeight="1">
      <c r="A8" s="310"/>
      <c r="B8" s="3364"/>
      <c r="C8" s="312"/>
      <c r="D8" s="313"/>
      <c r="E8" s="308" t="s">
        <v>1372</v>
      </c>
      <c r="F8" s="309">
        <f ca="1">INDIRECT("'数据-取费表'!ai"&amp;$G$1)</f>
        <v>12</v>
      </c>
      <c r="G8" s="1567"/>
      <c r="H8" s="310"/>
      <c r="I8" s="3364"/>
      <c r="J8" s="312"/>
      <c r="K8" s="313"/>
      <c r="L8" s="308" t="s">
        <v>1372</v>
      </c>
      <c r="M8" s="309">
        <f ca="1">INDIRECT("'数据-取费表'!ai"&amp;$G$1)</f>
        <v>12</v>
      </c>
    </row>
    <row r="9" spans="1:37" ht="18" customHeight="1">
      <c r="A9" s="310"/>
      <c r="B9" s="3365"/>
      <c r="C9" s="312"/>
      <c r="D9" s="313"/>
      <c r="E9" s="308" t="s">
        <v>1373</v>
      </c>
      <c r="F9" s="318">
        <f ca="1">INDIRECT("'数据-取费表'!w"&amp;$G$1)</f>
        <v>0.1</v>
      </c>
      <c r="G9" s="1567"/>
      <c r="H9" s="310"/>
      <c r="I9" s="3365"/>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t="s">
        <v>3094</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2810</v>
      </c>
      <c r="D13" s="3058" t="s">
        <v>1380</v>
      </c>
      <c r="E13" s="3058"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2181</v>
      </c>
      <c r="D14" s="3062" t="s">
        <v>1383</v>
      </c>
      <c r="E14" s="3060"/>
      <c r="F14" s="325"/>
      <c r="G14" s="1567"/>
      <c r="H14" s="1113" t="s">
        <v>1003</v>
      </c>
      <c r="I14" s="308" t="s">
        <v>1384</v>
      </c>
      <c r="J14" s="24">
        <f ca="1">C29</f>
        <v>3021</v>
      </c>
      <c r="K14" s="3065"/>
      <c r="L14" s="916"/>
      <c r="M14" s="917"/>
    </row>
    <row r="15" spans="1:37" s="1580" customFormat="1" ht="18" customHeight="1" thickBot="1">
      <c r="A15" s="1113" t="s">
        <v>1004</v>
      </c>
      <c r="B15" s="308" t="s">
        <v>1385</v>
      </c>
      <c r="C15" s="24">
        <f ca="1">ROUND(C14*F15,0)</f>
        <v>65</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41</v>
      </c>
      <c r="K16" s="1247" t="s">
        <v>1390</v>
      </c>
      <c r="L16" s="3063"/>
      <c r="M16" s="1204"/>
    </row>
    <row r="17" spans="1:37" s="1580" customFormat="1" ht="18" customHeight="1">
      <c r="A17" s="1113" t="s">
        <v>1355</v>
      </c>
      <c r="B17" s="308" t="s">
        <v>1391</v>
      </c>
      <c r="C17" s="24">
        <f ca="1">ROUND(F17*(F43+INDIRECT("'数据-取费表'!S"&amp;$G$1))/10000,0)</f>
        <v>145</v>
      </c>
      <c r="D17" s="308" t="s">
        <v>1392</v>
      </c>
      <c r="E17" s="308" t="s">
        <v>1393</v>
      </c>
      <c r="F17" s="26">
        <f>'数据-取费表'!B35</f>
        <v>200</v>
      </c>
      <c r="G17" s="1579"/>
      <c r="H17" s="1113" t="s">
        <v>1003</v>
      </c>
      <c r="I17" s="308" t="s">
        <v>1394</v>
      </c>
      <c r="J17" s="2533">
        <f ca="1">ROUND(IF(AND(项目基本情况!B11="自然人",项目基本情况!B10="北京市"),J6*M17/(1+'数据-取费表'!C42),J18+J19+J20),0)</f>
        <v>26</v>
      </c>
      <c r="K17" s="3062" t="s">
        <v>1395</v>
      </c>
      <c r="L17" s="3061"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33</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2424</v>
      </c>
      <c r="D19" s="136" t="s">
        <v>1401</v>
      </c>
      <c r="E19" s="3068"/>
      <c r="F19" s="26"/>
      <c r="G19" s="1567"/>
      <c r="H19" s="1113" t="s">
        <v>1004</v>
      </c>
      <c r="I19" s="308" t="s">
        <v>1402</v>
      </c>
      <c r="J19" s="24">
        <f ca="1">IF(K19="按租金收入计税",ROUND(J6*M19/(1+'数据-取费表'!C42),2),ROUND(C29*M19*0.7,2))</f>
        <v>25.38</v>
      </c>
      <c r="K19" s="1553" t="s">
        <v>1403</v>
      </c>
      <c r="L19" s="308" t="s">
        <v>1387</v>
      </c>
      <c r="M19" s="328">
        <f>IF(K19="按租金收入计税",'数据-取费表'!B51,'数据-取费表'!B50)</f>
        <v>1.2E-2</v>
      </c>
    </row>
    <row r="20" spans="1:37" s="1580" customFormat="1" ht="18" customHeight="1">
      <c r="A20" s="1113" t="s">
        <v>1007</v>
      </c>
      <c r="B20" s="308" t="s">
        <v>1404</v>
      </c>
      <c r="C20" s="24">
        <f ca="1">ROUND(C19*F20,0)</f>
        <v>48</v>
      </c>
      <c r="D20" s="329" t="s">
        <v>1405</v>
      </c>
      <c r="E20" s="308" t="s">
        <v>1387</v>
      </c>
      <c r="F20" s="328">
        <f>'数据-取费表'!B37</f>
        <v>0.02</v>
      </c>
      <c r="G20" s="1579"/>
      <c r="H20" s="1113" t="s">
        <v>1354</v>
      </c>
      <c r="I20" s="160" t="s">
        <v>1406</v>
      </c>
      <c r="J20" s="25">
        <f ca="1">ROUND(M20*M21/10000,2)</f>
        <v>0.17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1152.51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15.1</v>
      </c>
      <c r="K22" s="3061"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107</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-41</v>
      </c>
      <c r="K25" s="1255" t="s">
        <v>1429</v>
      </c>
      <c r="L25" s="1256"/>
      <c r="M25" s="1257"/>
    </row>
    <row r="26" spans="1:37">
      <c r="A26" s="1113" t="s">
        <v>1002</v>
      </c>
      <c r="B26" s="308" t="s">
        <v>1430</v>
      </c>
      <c r="C26" s="24">
        <f ca="1">ROUND((C19+C20)*F26,0)</f>
        <v>247</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3021</v>
      </c>
      <c r="D29" s="1252"/>
      <c r="E29" s="1250"/>
      <c r="F29" s="1253"/>
      <c r="G29" s="1579"/>
      <c r="H29" s="340" t="s">
        <v>1001</v>
      </c>
      <c r="I29" s="341" t="s">
        <v>1444</v>
      </c>
      <c r="J29" s="342">
        <f ca="1">ROUND(J26/(1+F40)^F41,0)</f>
        <v>0</v>
      </c>
      <c r="K29" s="343" t="s">
        <v>1445</v>
      </c>
      <c r="L29" s="344"/>
      <c r="M29" s="345">
        <f ca="1">INDIRECT("'数据-取费表'!k"&amp;$G$1)</f>
        <v>7219.03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32</v>
      </c>
      <c r="D30" s="1247" t="s">
        <v>1390</v>
      </c>
      <c r="E30" s="3063"/>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12</v>
      </c>
      <c r="D31" s="3062" t="s">
        <v>1395</v>
      </c>
      <c r="E31" s="3061" t="s">
        <v>1446</v>
      </c>
      <c r="F31" s="2532"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3" t="s">
        <v>1002</v>
      </c>
      <c r="B32" s="308" t="s">
        <v>1398</v>
      </c>
      <c r="C32" s="24">
        <f ca="1">IF(项目基本情况!B11="自然人","——",ROUND(C6*F32/(1+'数据-取费表'!C42),2))</f>
        <v>3.63</v>
      </c>
      <c r="D32" s="3061"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7.77</v>
      </c>
      <c r="D33" s="1553" t="s">
        <v>3091</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0.17</v>
      </c>
      <c r="D34" s="330" t="s">
        <v>1407</v>
      </c>
      <c r="E34" s="308" t="s">
        <v>1408</v>
      </c>
      <c r="F34" s="331">
        <f>'数据-取费表'!B52</f>
        <v>1.5</v>
      </c>
      <c r="G34" s="1567"/>
      <c r="H34" s="2922"/>
      <c r="I34" s="1581"/>
      <c r="J34" s="1582"/>
      <c r="K34" s="2927"/>
      <c r="L34" s="2928"/>
      <c r="M34" s="2928"/>
    </row>
    <row r="35" spans="1:18" ht="18" customHeight="1">
      <c r="A35" s="1263"/>
      <c r="B35" s="1261"/>
      <c r="C35" s="29"/>
      <c r="D35" s="333"/>
      <c r="E35" s="308" t="s">
        <v>1412</v>
      </c>
      <c r="F35" s="309">
        <f ca="1">INDIRECT("'数据-取费表'!r"&amp;$G$1)</f>
        <v>1152.51</v>
      </c>
      <c r="G35" s="1567"/>
      <c r="H35" s="2922"/>
      <c r="I35" s="1581"/>
      <c r="J35" s="1582"/>
      <c r="K35" s="2926"/>
      <c r="L35" s="2925"/>
      <c r="M35" s="2925"/>
    </row>
    <row r="36" spans="1:18" ht="18" customHeight="1">
      <c r="A36" s="1262" t="s">
        <v>1007</v>
      </c>
      <c r="B36" s="308" t="s">
        <v>1414</v>
      </c>
      <c r="C36" s="24">
        <f ca="1">ROUND(C29*F36,1)</f>
        <v>15.1</v>
      </c>
      <c r="D36" s="3061" t="s">
        <v>1447</v>
      </c>
      <c r="E36" s="308" t="s">
        <v>1387</v>
      </c>
      <c r="F36" s="334">
        <f ca="1">INDIRECT("'数据-取费表'!Ak"&amp;$G$1)</f>
        <v>5.0000000000000001E-3</v>
      </c>
      <c r="G36" s="1567"/>
      <c r="H36" s="2925"/>
      <c r="I36" s="1581"/>
      <c r="J36" s="1582"/>
      <c r="K36" s="2766"/>
      <c r="L36" s="2925"/>
      <c r="M36" s="2925"/>
    </row>
    <row r="37" spans="1:18" ht="18" customHeight="1">
      <c r="A37" s="1113" t="s">
        <v>1043</v>
      </c>
      <c r="B37" s="308" t="s">
        <v>1418</v>
      </c>
      <c r="C37" s="24">
        <f ca="1">ROUND(C13*F37,1)</f>
        <v>4.2</v>
      </c>
      <c r="D37" s="3061" t="s">
        <v>1419</v>
      </c>
      <c r="E37" s="308" t="s">
        <v>1387</v>
      </c>
      <c r="F37" s="336">
        <f ca="1">INDIRECT("'数据-取费表'!Al"&amp;$G$1)</f>
        <v>1.5E-3</v>
      </c>
      <c r="G37" s="1567"/>
      <c r="H37" s="2925"/>
      <c r="I37" s="1581"/>
      <c r="J37" s="1582"/>
      <c r="K37" s="2766"/>
      <c r="L37" s="2925"/>
      <c r="M37" s="2925"/>
    </row>
    <row r="38" spans="1:18" ht="18" customHeight="1" thickBot="1">
      <c r="A38" s="1249" t="s">
        <v>1357</v>
      </c>
      <c r="B38" s="1250" t="s">
        <v>1404</v>
      </c>
      <c r="C38" s="1251">
        <f ca="1">ROUND(C5*F38,1)</f>
        <v>0.7</v>
      </c>
      <c r="D38" s="1252" t="s">
        <v>1424</v>
      </c>
      <c r="E38" s="1250" t="s">
        <v>1387</v>
      </c>
      <c r="F38" s="1246">
        <f ca="1">INDIRECT("'数据-取费表'!Am"&amp;$G$1)</f>
        <v>0.01</v>
      </c>
      <c r="G38" s="1567"/>
      <c r="H38" s="2925"/>
      <c r="I38" s="1581"/>
      <c r="J38" s="1582"/>
      <c r="K38" s="2929"/>
      <c r="L38" s="2925"/>
      <c r="M38" s="2925"/>
    </row>
    <row r="39" spans="1:18" ht="24.6" customHeight="1" thickTop="1">
      <c r="A39" s="1239" t="s">
        <v>999</v>
      </c>
      <c r="B39" s="1254" t="s">
        <v>1428</v>
      </c>
      <c r="C39" s="316">
        <f ca="1">C5-C30</f>
        <v>36</v>
      </c>
      <c r="D39" s="1255" t="s">
        <v>1429</v>
      </c>
      <c r="E39" s="1256"/>
      <c r="F39" s="1257"/>
      <c r="G39" s="1567"/>
      <c r="H39" s="2925"/>
      <c r="I39" s="1581"/>
      <c r="J39" s="1582"/>
      <c r="K39" s="2929"/>
      <c r="L39" s="2925"/>
      <c r="M39" s="2925"/>
    </row>
    <row r="40" spans="1:18" ht="18" customHeight="1">
      <c r="A40" s="305" t="s">
        <v>1000</v>
      </c>
      <c r="B40" s="306" t="s">
        <v>1450</v>
      </c>
      <c r="C40" s="307">
        <f ca="1">ROUND(C39*(1-((1+F42)/(1+F40))^F41)/(F40-F42),0)</f>
        <v>755</v>
      </c>
      <c r="D40" s="330" t="s">
        <v>1434</v>
      </c>
      <c r="E40" s="308" t="s">
        <v>1435</v>
      </c>
      <c r="F40" s="318">
        <f ca="1">INDIRECT("'数据-取费表'!I"&amp;$G$1)</f>
        <v>0.05</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34.25</v>
      </c>
      <c r="G41" s="1567"/>
      <c r="H41" s="1352"/>
      <c r="I41" s="1581"/>
      <c r="J41" s="1582"/>
      <c r="K41" s="2766"/>
      <c r="L41" s="1352"/>
      <c r="M41" s="1352"/>
    </row>
    <row r="42" spans="1:18" ht="18" customHeight="1">
      <c r="A42" s="314"/>
      <c r="B42" s="315"/>
      <c r="C42" s="316"/>
      <c r="D42" s="333"/>
      <c r="E42" s="308" t="s">
        <v>1442</v>
      </c>
      <c r="F42" s="318">
        <f ca="1">INDIRECT("'数据-取费表'!v"&amp;$G$1)</f>
        <v>0.02</v>
      </c>
      <c r="G42" s="1567"/>
      <c r="H42" s="1352"/>
      <c r="I42" s="1581"/>
      <c r="J42" s="1582"/>
      <c r="K42" s="2766"/>
      <c r="L42" s="1352"/>
      <c r="M42" s="1352"/>
    </row>
    <row r="43" spans="1:18" ht="18" customHeight="1" thickBot="1">
      <c r="A43" s="340" t="s">
        <v>1001</v>
      </c>
      <c r="B43" s="341" t="s">
        <v>1452</v>
      </c>
      <c r="C43" s="342">
        <f ca="1">ROUND(C40*10000/F43,0)</f>
        <v>1046</v>
      </c>
      <c r="D43" s="343" t="s">
        <v>1453</v>
      </c>
      <c r="E43" s="344" t="s">
        <v>1454</v>
      </c>
      <c r="F43" s="345">
        <f ca="1">INDIRECT("'数据-取费表'!k"&amp;$G$1)</f>
        <v>7219.03</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-5188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3092</v>
      </c>
      <c r="K47" s="1599" t="s">
        <v>1492</v>
      </c>
      <c r="L47" s="1600">
        <f ca="1">INDIRECT("'数据-取费表'!d"&amp;$G$1)</f>
        <v>50</v>
      </c>
      <c r="M47" s="1563" t="str">
        <f>IF(ISNUMBER(FIND("住宅",C1)),"住宅","非住宅")</f>
        <v>非住宅</v>
      </c>
      <c r="O47" s="1601" t="s">
        <v>1008</v>
      </c>
      <c r="P47" s="1602" t="s">
        <v>1493</v>
      </c>
      <c r="Q47" s="1603">
        <f ca="1">C40+J29</f>
        <v>755</v>
      </c>
      <c r="R47" s="1603" t="s">
        <v>1494</v>
      </c>
    </row>
    <row r="48" spans="1:18" s="1567" customFormat="1" ht="28.5" thickBot="1">
      <c r="A48" s="1270" t="s">
        <v>1103</v>
      </c>
      <c r="B48" s="306" t="s">
        <v>1366</v>
      </c>
      <c r="C48" s="3067">
        <f ca="1">C49+C53+C55</f>
        <v>0</v>
      </c>
      <c r="D48" s="1272"/>
      <c r="E48" s="1273"/>
      <c r="F48" s="1093"/>
      <c r="G48" s="731"/>
      <c r="H48" s="732"/>
      <c r="I48" s="1604" t="s">
        <v>1495</v>
      </c>
      <c r="J48" s="1605" t="s">
        <v>3093</v>
      </c>
      <c r="K48" s="1606" t="s">
        <v>1496</v>
      </c>
      <c r="L48" s="1607">
        <f ca="1">INDIRECT("'数据-取费表'!f"&amp;$G$1)</f>
        <v>34.25</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2848</v>
      </c>
      <c r="E49" s="1555" t="s">
        <v>1456</v>
      </c>
      <c r="F49" s="1191"/>
      <c r="G49" s="1608"/>
      <c r="H49" s="732"/>
      <c r="I49" s="1604" t="s">
        <v>1499</v>
      </c>
      <c r="J49" s="1609">
        <v>2017</v>
      </c>
      <c r="K49" s="1606" t="s">
        <v>1500</v>
      </c>
      <c r="L49" s="1610"/>
      <c r="O49" s="1611" t="s">
        <v>1010</v>
      </c>
      <c r="P49" s="1602" t="s">
        <v>1501</v>
      </c>
      <c r="Q49" s="1603">
        <f ca="1">C29</f>
        <v>3021</v>
      </c>
      <c r="R49" s="1603" t="s">
        <v>1494</v>
      </c>
    </row>
    <row r="50" spans="1:18" s="1567" customFormat="1" ht="13.5" thickBot="1">
      <c r="A50" s="1107"/>
      <c r="B50" s="1110"/>
      <c r="C50" s="1278"/>
      <c r="D50" s="1084"/>
      <c r="E50" s="1187" t="s">
        <v>1371</v>
      </c>
      <c r="F50" s="1188">
        <f ca="1">F7</f>
        <v>126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56</v>
      </c>
      <c r="K51" s="1617" t="s">
        <v>1506</v>
      </c>
      <c r="L51" s="1618">
        <f ca="1">ROUND(-PV(INDIRECT("'数据-取费表'!h"&amp;$G$1),J51,(C39-C13*C76),0),0)</f>
        <v>-3839</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34.25</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34.25</v>
      </c>
      <c r="K53" s="3361" t="s">
        <v>1513</v>
      </c>
      <c r="L53" s="3362"/>
      <c r="O53" s="1601" t="s">
        <v>1014</v>
      </c>
      <c r="P53" s="1602" t="s">
        <v>1514</v>
      </c>
      <c r="Q53" s="1603">
        <f ca="1">Q47+Q48</f>
        <v>755</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2810</v>
      </c>
      <c r="D56" s="1630"/>
      <c r="E56" s="1631"/>
      <c r="F56" s="1623"/>
      <c r="I56" s="1632" t="s">
        <v>1519</v>
      </c>
      <c r="J56" s="1633" t="s">
        <v>3078</v>
      </c>
      <c r="K56" s="1604" t="s">
        <v>1520</v>
      </c>
      <c r="L56" s="1607" t="str">
        <f ca="1">IF(L48&lt;J51,"——",L48-J53)</f>
        <v>——</v>
      </c>
      <c r="O56" s="1601" t="s">
        <v>1008</v>
      </c>
      <c r="P56" s="1602" t="s">
        <v>1493</v>
      </c>
      <c r="Q56" s="1603">
        <f ca="1">C40+J29</f>
        <v>755</v>
      </c>
      <c r="R56" s="1603" t="s">
        <v>1494</v>
      </c>
    </row>
    <row r="57" spans="1:18" s="1567" customFormat="1" ht="24.75" thickBot="1">
      <c r="A57" s="1634"/>
      <c r="B57" s="1081" t="s">
        <v>1443</v>
      </c>
      <c r="C57" s="244">
        <f ca="1">C29</f>
        <v>3021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273</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254</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253.76</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0.17</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755</v>
      </c>
      <c r="R62" s="1603" t="s">
        <v>1015</v>
      </c>
    </row>
    <row r="63" spans="1:18" s="1567" customFormat="1" ht="13.5" thickBot="1">
      <c r="A63" s="332"/>
      <c r="B63" s="1087"/>
      <c r="C63" s="29"/>
      <c r="D63" s="1097"/>
      <c r="E63" s="1081" t="s">
        <v>1412</v>
      </c>
      <c r="F63" s="309">
        <f t="shared" ca="1" si="0"/>
        <v>1152.51</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15.1</v>
      </c>
      <c r="D64" s="1095" t="s">
        <v>1447</v>
      </c>
      <c r="E64" s="1081" t="s">
        <v>1387</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4.2</v>
      </c>
      <c r="D65" s="1095" t="s">
        <v>1419</v>
      </c>
      <c r="E65" s="1081" t="s">
        <v>1387</v>
      </c>
      <c r="F65" s="336">
        <f t="shared" ca="1" si="0"/>
        <v>1.5E-3</v>
      </c>
      <c r="I65" s="1645" t="s">
        <v>1544</v>
      </c>
      <c r="J65" s="1646">
        <v>40</v>
      </c>
      <c r="K65" s="1646">
        <v>30</v>
      </c>
      <c r="L65" s="1646">
        <v>50</v>
      </c>
      <c r="M65" s="1648">
        <v>0.02</v>
      </c>
      <c r="O65" s="1601" t="s">
        <v>1008</v>
      </c>
      <c r="P65" s="1602" t="s">
        <v>1493</v>
      </c>
      <c r="Q65" s="1603">
        <f ca="1">C40+J29</f>
        <v>755</v>
      </c>
      <c r="R65" s="1603" t="s">
        <v>1494</v>
      </c>
    </row>
    <row r="66" spans="1:18" s="1567" customFormat="1" ht="16.5" thickBot="1">
      <c r="A66" s="1113" t="s">
        <v>1469</v>
      </c>
      <c r="B66" s="1081" t="s">
        <v>1404</v>
      </c>
      <c r="C66" s="24">
        <f ca="1">ROUND(C48*F66,1)</f>
        <v>0</v>
      </c>
      <c r="D66" s="1095" t="s">
        <v>1424</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-273</v>
      </c>
      <c r="D67" s="1094" t="s">
        <v>1429</v>
      </c>
      <c r="E67" s="1099"/>
      <c r="F67" s="1100"/>
      <c r="O67" s="1611" t="s">
        <v>1010</v>
      </c>
      <c r="P67" s="1602" t="s">
        <v>1527</v>
      </c>
      <c r="Q67" s="1649">
        <f ca="1">L51</f>
        <v>-3839</v>
      </c>
      <c r="R67" s="1603" t="s">
        <v>1547</v>
      </c>
    </row>
    <row r="68" spans="1:18" s="1567" customFormat="1" ht="16.5" thickBot="1">
      <c r="A68" s="1078" t="s">
        <v>1000</v>
      </c>
      <c r="B68" s="1079" t="s">
        <v>1450</v>
      </c>
      <c r="C68" s="307">
        <f ca="1">ROUND(C67*(1-((1+F70)/(1+F68))^F69)/(F68-F70),0)</f>
        <v>-4433</v>
      </c>
      <c r="D68" s="1096" t="s">
        <v>1434</v>
      </c>
      <c r="E68" s="1081" t="s">
        <v>1435</v>
      </c>
      <c r="F68" s="318">
        <f ca="1">F40</f>
        <v>0.05</v>
      </c>
      <c r="O68" s="1611" t="s">
        <v>1011</v>
      </c>
      <c r="P68" s="1650" t="s">
        <v>1548</v>
      </c>
      <c r="Q68" s="1603">
        <f ca="1">ROUND(Q69-Q70*Q71,0)</f>
        <v>-189</v>
      </c>
      <c r="R68" s="1603" t="s">
        <v>1019</v>
      </c>
    </row>
    <row r="69" spans="1:18" s="1567" customFormat="1" ht="13.5" thickBot="1">
      <c r="A69" s="1082"/>
      <c r="B69" s="1083"/>
      <c r="C69" s="312"/>
      <c r="D69" s="1101" t="s">
        <v>1438</v>
      </c>
      <c r="E69" s="1081" t="s">
        <v>1439</v>
      </c>
      <c r="F69" s="339">
        <f ca="1">F41</f>
        <v>34.25</v>
      </c>
      <c r="O69" s="1611" t="s">
        <v>1016</v>
      </c>
      <c r="P69" s="1650" t="s">
        <v>1549</v>
      </c>
      <c r="Q69" s="1603">
        <f ca="1">C39</f>
        <v>36</v>
      </c>
      <c r="R69" s="1603" t="s">
        <v>1494</v>
      </c>
    </row>
    <row r="70" spans="1:18" s="1567" customFormat="1" ht="13.5" thickBot="1">
      <c r="A70" s="1085"/>
      <c r="B70" s="1086"/>
      <c r="C70" s="316"/>
      <c r="D70" s="1097"/>
      <c r="E70" s="1081" t="s">
        <v>1442</v>
      </c>
      <c r="F70" s="1185"/>
      <c r="O70" s="1611" t="s">
        <v>1017</v>
      </c>
      <c r="P70" s="1650" t="s">
        <v>1550</v>
      </c>
      <c r="Q70" s="1603">
        <f ca="1">C13</f>
        <v>2810</v>
      </c>
      <c r="R70" s="1603" t="s">
        <v>1494</v>
      </c>
    </row>
    <row r="71" spans="1:18" s="1567" customFormat="1" ht="13.5" thickBot="1">
      <c r="A71" s="1102" t="s">
        <v>1001</v>
      </c>
      <c r="B71" s="1103" t="s">
        <v>1452</v>
      </c>
      <c r="C71" s="342">
        <f ca="1">ROUND(C68*10000/F71,0)</f>
        <v>-6141</v>
      </c>
      <c r="D71" s="1104" t="s">
        <v>1453</v>
      </c>
      <c r="E71" s="1105" t="s">
        <v>1454</v>
      </c>
      <c r="F71" s="345">
        <f ca="1">F43</f>
        <v>7219.03</v>
      </c>
      <c r="O71" s="1611" t="s">
        <v>1018</v>
      </c>
      <c r="P71" s="1650" t="s">
        <v>1551</v>
      </c>
      <c r="Q71" s="1614">
        <f ca="1">C76</f>
        <v>0.08</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225</v>
      </c>
      <c r="D75" s="1567"/>
      <c r="E75" s="1567"/>
      <c r="F75" s="1567"/>
      <c r="K75" s="1585"/>
      <c r="L75" s="1567"/>
      <c r="O75" s="1601" t="s">
        <v>1014</v>
      </c>
      <c r="P75" s="1602" t="s">
        <v>1514</v>
      </c>
      <c r="Q75" s="1603">
        <f ca="1">Q65+Q66</f>
        <v>755</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-5.25</v>
      </c>
    </row>
    <row r="80" spans="1:18">
      <c r="B80" s="346" t="s">
        <v>1476</v>
      </c>
      <c r="C80" s="280">
        <f ca="1">ROUND(C75/C39,3)</f>
        <v>6.25</v>
      </c>
    </row>
    <row r="81" spans="2:3">
      <c r="B81" s="276" t="s">
        <v>1477</v>
      </c>
      <c r="C81" s="244"/>
    </row>
    <row r="82" spans="2:3">
      <c r="B82" s="279" t="s">
        <v>1478</v>
      </c>
      <c r="C82" s="281">
        <f ca="1">1-C83</f>
        <v>-2.722</v>
      </c>
    </row>
    <row r="83" spans="2:3">
      <c r="B83" s="279" t="s">
        <v>1479</v>
      </c>
      <c r="C83" s="280">
        <f ca="1">ROUND(C13/C40,3)</f>
        <v>3.722</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xr:uid="{65894FEA-6E32-44EF-AF26-0A6A113ED66A}">
      <formula1>"在建（套用方法）,土地（套用方法）,——"</formula1>
    </dataValidation>
    <dataValidation type="list" allowBlank="1" showInputMessage="1" showErrorMessage="1" sqref="M10 F10 F53" xr:uid="{9BC4585C-79D6-4AA9-96A3-3AE7601967D6}">
      <formula1>"押一,押二,押三,自定义"</formula1>
    </dataValidation>
    <dataValidation type="list" allowBlank="1" showInputMessage="1" showErrorMessage="1" sqref="L55" xr:uid="{60FA92AD-283E-4181-A4FC-C4B14C95E573}">
      <formula1>"比较法,基准地价,收益还原"</formula1>
    </dataValidation>
    <dataValidation type="list" allowBlank="1" showInputMessage="1" showErrorMessage="1" sqref="J56" xr:uid="{1C8BE3DB-82B0-4764-A15D-AF465E99A869}">
      <formula1>判定</formula1>
    </dataValidation>
    <dataValidation type="list" allowBlank="1" showInputMessage="1" showErrorMessage="1" sqref="J48" xr:uid="{727DD441-F1E6-4B19-9A77-0F63437A36A3}">
      <formula1>"非生产用房,生产用房,受腐蚀的生产用房"</formula1>
    </dataValidation>
    <dataValidation type="list" allowBlank="1" showInputMessage="1" showErrorMessage="1" sqref="J47" xr:uid="{49211D5E-3204-431E-A397-C12983FD2A0D}">
      <formula1>"钢,钢混,砖混"</formula1>
    </dataValidation>
    <dataValidation type="list" allowBlank="1" showInputMessage="1" showErrorMessage="1" sqref="C1" xr:uid="{27662AA1-D48F-494F-8D4B-EDD1741D97E9}">
      <formula1>项目类型</formula1>
    </dataValidation>
    <dataValidation type="list" allowBlank="1" showInputMessage="1" showErrorMessage="1" sqref="D33 D61" xr:uid="{38062252-E580-4449-8275-800B8FFE2EC5}">
      <formula1>"按租金收入计税,按房产原值计税,按票据"</formula1>
    </dataValidation>
    <dataValidation type="list" allowBlank="1" showInputMessage="1" showErrorMessage="1" sqref="K19" xr:uid="{1BEB5AD2-DAFB-47F3-9218-B8E736A8F7A1}">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7" sqref="F27"/>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2"/>
      <c r="G1" s="1673"/>
      <c r="H1" s="1673"/>
      <c r="I1" s="1673"/>
      <c r="J1" s="1673"/>
      <c r="K1" s="1673"/>
      <c r="L1" s="1673"/>
      <c r="M1" s="1673"/>
      <c r="N1" s="1673"/>
      <c r="O1" s="1673"/>
      <c r="P1" s="1673"/>
      <c r="Q1" s="1673"/>
      <c r="R1" s="1673"/>
      <c r="S1" s="1673"/>
    </row>
    <row r="2" spans="1:22" ht="15.75">
      <c r="A2" s="2055" t="s">
        <v>2148</v>
      </c>
      <c r="B2" s="2056">
        <f ca="1">SUMIF(B6:B13,"&lt;&gt;#ref!",B6:B13)</f>
        <v>63540</v>
      </c>
      <c r="C2" s="2057" t="s">
        <v>2340</v>
      </c>
      <c r="D2" s="2058" t="s">
        <v>2341</v>
      </c>
      <c r="E2" s="2829">
        <f>SUM(E6:E13)</f>
        <v>39707.960000000006</v>
      </c>
      <c r="F2" s="2932"/>
      <c r="G2" s="1673"/>
      <c r="H2" s="1673"/>
      <c r="I2" s="1673"/>
      <c r="J2" s="1673"/>
      <c r="K2" s="1673"/>
      <c r="L2" s="1673"/>
      <c r="M2" s="1673"/>
      <c r="N2" s="1673"/>
      <c r="O2" s="1673"/>
      <c r="P2" s="1673"/>
      <c r="Q2" s="1673"/>
      <c r="R2" s="1673"/>
      <c r="S2" s="1673"/>
    </row>
    <row r="3" spans="1:22" ht="15.75">
      <c r="A3" s="2055" t="s">
        <v>1360</v>
      </c>
      <c r="B3" s="2823">
        <f ca="1">ROUND(B2*10000/E2,0)</f>
        <v>16002</v>
      </c>
      <c r="C3" s="2057" t="s">
        <v>2348</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5" t="s">
        <v>2342</v>
      </c>
      <c r="B5" s="3366" t="s">
        <v>2343</v>
      </c>
      <c r="C5" s="3367"/>
      <c r="D5" s="2933"/>
      <c r="E5" s="2059" t="s">
        <v>2344</v>
      </c>
      <c r="F5" s="2060" t="s">
        <v>2345</v>
      </c>
      <c r="G5" s="1673"/>
      <c r="H5" s="1673"/>
      <c r="I5" s="1673"/>
      <c r="J5" s="1673"/>
      <c r="K5" s="1673"/>
      <c r="L5" s="1673"/>
      <c r="M5" s="1673"/>
      <c r="N5" s="1673"/>
      <c r="O5" s="1673"/>
      <c r="P5" s="1673"/>
      <c r="Q5" s="1673"/>
      <c r="R5" s="1673"/>
      <c r="S5" s="1673"/>
    </row>
    <row r="6" spans="1:22">
      <c r="A6" s="2826" t="str">
        <f>'数据-取费表'!AN6</f>
        <v>收益法</v>
      </c>
      <c r="B6" s="2824">
        <f ca="1">IF(F6="是",'数据-取费表'!AO6,0)</f>
        <v>62785</v>
      </c>
      <c r="C6" s="2057" t="s">
        <v>2340</v>
      </c>
      <c r="D6" s="2934"/>
      <c r="E6" s="2828">
        <f>IF(OR(A6=0,F6="否"),0,'数据-取费表'!K6+'数据-取费表'!S6)</f>
        <v>32437.300000000007</v>
      </c>
      <c r="F6" s="2061" t="s">
        <v>2346</v>
      </c>
      <c r="G6" s="1673"/>
      <c r="H6" s="1673"/>
      <c r="I6" s="1673"/>
      <c r="J6" s="1673"/>
      <c r="K6" s="1673"/>
      <c r="L6" s="1673"/>
      <c r="M6" s="1673"/>
      <c r="N6" s="1673"/>
      <c r="O6" s="1673"/>
      <c r="P6" s="1673"/>
      <c r="Q6" s="1673"/>
      <c r="R6" s="1673"/>
      <c r="S6" s="1673"/>
    </row>
    <row r="7" spans="1:22">
      <c r="A7" s="2826" t="str">
        <f>'数据-取费表'!AN7</f>
        <v>收益法 (地下车库)</v>
      </c>
      <c r="B7" s="2824">
        <f ca="1">IF(F7="是",'数据-取费表'!AO7,0)</f>
        <v>755</v>
      </c>
      <c r="C7" s="2057" t="s">
        <v>2340</v>
      </c>
      <c r="D7" s="2934"/>
      <c r="E7" s="2828">
        <f>IF(OR(A7=0,F7="否"),0,'数据-取费表'!K7+'数据-取费表'!S7)</f>
        <v>7270.66</v>
      </c>
      <c r="F7" s="2061" t="s">
        <v>2346</v>
      </c>
      <c r="G7" s="1673"/>
      <c r="H7" s="1673"/>
      <c r="I7" s="1673"/>
      <c r="J7" s="1673"/>
      <c r="K7" s="1673"/>
      <c r="L7" s="1673"/>
      <c r="M7" s="1673"/>
      <c r="N7" s="1673"/>
      <c r="O7" s="1673"/>
      <c r="P7" s="1673"/>
      <c r="Q7" s="1673"/>
      <c r="R7" s="1673"/>
      <c r="S7" s="1673"/>
    </row>
    <row r="8" spans="1:22">
      <c r="A8" s="2826">
        <f>'数据-取费表'!AN8</f>
        <v>0</v>
      </c>
      <c r="B8" s="2824" t="e">
        <f ca="1">IF(F8="是",'数据-取费表'!AO8,0)</f>
        <v>#REF!</v>
      </c>
      <c r="C8" s="2057" t="s">
        <v>2340</v>
      </c>
      <c r="D8" s="2934"/>
      <c r="E8" s="2828">
        <f>IF(OR(A8=0,F8="否"),0,'数据-取费表'!K8+'数据-取费表'!S8)</f>
        <v>0</v>
      </c>
      <c r="F8" s="2061" t="s">
        <v>2346</v>
      </c>
      <c r="G8" s="1673"/>
      <c r="H8" s="1673"/>
      <c r="I8" s="1673"/>
      <c r="J8" s="1673"/>
      <c r="K8" s="1673"/>
      <c r="L8" s="1673"/>
      <c r="M8" s="1673"/>
      <c r="N8" s="1673"/>
      <c r="O8" s="1673"/>
      <c r="P8" s="1673"/>
      <c r="Q8" s="1673"/>
      <c r="R8" s="1673"/>
      <c r="S8" s="1673"/>
    </row>
    <row r="9" spans="1:22">
      <c r="A9" s="2826">
        <f>'数据-取费表'!AN9</f>
        <v>0</v>
      </c>
      <c r="B9" s="2824" t="e">
        <f ca="1">IF(F9="是",'数据-取费表'!AO9,0)</f>
        <v>#REF!</v>
      </c>
      <c r="C9" s="2057" t="s">
        <v>2340</v>
      </c>
      <c r="D9" s="2934"/>
      <c r="E9" s="2828">
        <f>IF(OR(A9=0,F9="否"),0,'数据-取费表'!K9+'数据-取费表'!S9)</f>
        <v>0</v>
      </c>
      <c r="F9" s="2061" t="s">
        <v>2346</v>
      </c>
      <c r="G9" s="1673"/>
      <c r="H9" s="1673"/>
      <c r="I9" s="1673"/>
      <c r="J9" s="1673"/>
      <c r="K9" s="1673"/>
      <c r="L9" s="1673"/>
      <c r="M9" s="1673"/>
      <c r="N9" s="1673"/>
      <c r="O9" s="1673"/>
      <c r="P9" s="1673"/>
      <c r="Q9" s="1673"/>
      <c r="R9" s="1673"/>
      <c r="S9" s="1673"/>
    </row>
    <row r="10" spans="1:22">
      <c r="A10" s="2826">
        <f>'数据-取费表'!AN10</f>
        <v>0</v>
      </c>
      <c r="B10" s="2824" t="e">
        <f ca="1">IF(F10="是",'数据-取费表'!AO10,0)</f>
        <v>#REF!</v>
      </c>
      <c r="C10" s="2057" t="s">
        <v>2340</v>
      </c>
      <c r="D10" s="2934"/>
      <c r="E10" s="2828">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6">
        <f>'数据-取费表'!AN11</f>
        <v>0</v>
      </c>
      <c r="B11" s="2824" t="e">
        <f ca="1">IF(F11="是",'数据-取费表'!AO11,0)</f>
        <v>#REF!</v>
      </c>
      <c r="C11" s="2057" t="s">
        <v>2340</v>
      </c>
      <c r="D11" s="2934"/>
      <c r="E11" s="2828">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6">
        <f>'数据-取费表'!AN12</f>
        <v>0</v>
      </c>
      <c r="B12" s="2824" t="e">
        <f ca="1">IF(F12="是",'数据-取费表'!AO12,0)</f>
        <v>#REF!</v>
      </c>
      <c r="C12" s="2057" t="s">
        <v>2340</v>
      </c>
      <c r="D12" s="2934"/>
      <c r="E12" s="2828">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27">
        <f>'数据-取费表'!AN13</f>
        <v>0</v>
      </c>
      <c r="B13" s="2824" t="e">
        <f ca="1">IF(F13="是",'数据-取费表'!AO13,0)</f>
        <v>#REF!</v>
      </c>
      <c r="C13" s="2062" t="s">
        <v>2340</v>
      </c>
      <c r="D13" s="2935"/>
      <c r="E13" s="2828">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2021年11月15日（评估专业人员实地查勘之日）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4" t="s">
        <v>1044</v>
      </c>
      <c r="B1" s="3385"/>
      <c r="C1" s="3386"/>
      <c r="D1" s="3387">
        <f>SUM(I10,I15,I20,I21,I23)</f>
        <v>0</v>
      </c>
      <c r="E1" s="3387"/>
      <c r="F1" s="3387"/>
      <c r="G1" s="3387"/>
      <c r="H1" s="3387"/>
      <c r="I1" s="3388"/>
    </row>
    <row r="2" spans="1:9">
      <c r="A2" s="3374" t="s">
        <v>1045</v>
      </c>
      <c r="B2" s="3375" t="s">
        <v>1046</v>
      </c>
      <c r="C2" s="3375"/>
      <c r="D2" s="1211" t="s">
        <v>1047</v>
      </c>
      <c r="E2" s="1211" t="s">
        <v>1048</v>
      </c>
      <c r="F2" s="1211" t="s">
        <v>1049</v>
      </c>
      <c r="G2" s="1211" t="s">
        <v>1050</v>
      </c>
      <c r="H2" s="1211" t="s">
        <v>1051</v>
      </c>
      <c r="I2" s="1212" t="s">
        <v>1052</v>
      </c>
    </row>
    <row r="3" spans="1:9">
      <c r="A3" s="3374"/>
      <c r="B3" s="3375" t="s">
        <v>1053</v>
      </c>
      <c r="C3" s="3375"/>
      <c r="D3" s="1213"/>
      <c r="E3" s="1211"/>
      <c r="F3" s="1214"/>
      <c r="G3" s="1214"/>
      <c r="H3" s="1215"/>
      <c r="I3" s="1216">
        <f>ROUND(D3*E3*F3*G3*H3/10000,0)</f>
        <v>0</v>
      </c>
    </row>
    <row r="4" spans="1:9">
      <c r="A4" s="3374"/>
      <c r="B4" s="3375" t="s">
        <v>1054</v>
      </c>
      <c r="C4" s="3375"/>
      <c r="D4" s="1213"/>
      <c r="E4" s="1211"/>
      <c r="F4" s="1214"/>
      <c r="G4" s="1214"/>
      <c r="H4" s="1215"/>
      <c r="I4" s="1216">
        <f t="shared" ref="I4:I9" si="0">ROUND(D4*E4*F4*G4*H4/10000,0)</f>
        <v>0</v>
      </c>
    </row>
    <row r="5" spans="1:9">
      <c r="A5" s="3374"/>
      <c r="B5" s="3375" t="s">
        <v>1055</v>
      </c>
      <c r="C5" s="3375"/>
      <c r="D5" s="1213"/>
      <c r="E5" s="1211"/>
      <c r="F5" s="1214"/>
      <c r="G5" s="1214"/>
      <c r="H5" s="1215"/>
      <c r="I5" s="1216">
        <f t="shared" si="0"/>
        <v>0</v>
      </c>
    </row>
    <row r="6" spans="1:9">
      <c r="A6" s="3374"/>
      <c r="B6" s="3375" t="s">
        <v>1056</v>
      </c>
      <c r="C6" s="3375"/>
      <c r="D6" s="1213"/>
      <c r="E6" s="1211"/>
      <c r="F6" s="1214"/>
      <c r="G6" s="1214"/>
      <c r="H6" s="1215"/>
      <c r="I6" s="1216">
        <f t="shared" si="0"/>
        <v>0</v>
      </c>
    </row>
    <row r="7" spans="1:9">
      <c r="A7" s="3374"/>
      <c r="B7" s="3375" t="s">
        <v>1057</v>
      </c>
      <c r="C7" s="3375"/>
      <c r="D7" s="1213"/>
      <c r="E7" s="1211"/>
      <c r="F7" s="1214"/>
      <c r="G7" s="1214"/>
      <c r="H7" s="1215"/>
      <c r="I7" s="1216">
        <f t="shared" si="0"/>
        <v>0</v>
      </c>
    </row>
    <row r="8" spans="1:9">
      <c r="A8" s="3374"/>
      <c r="B8" s="3375" t="s">
        <v>1058</v>
      </c>
      <c r="C8" s="3375"/>
      <c r="D8" s="1213"/>
      <c r="E8" s="1211"/>
      <c r="F8" s="1214"/>
      <c r="G8" s="1214"/>
      <c r="H8" s="1215"/>
      <c r="I8" s="1216">
        <f t="shared" si="0"/>
        <v>0</v>
      </c>
    </row>
    <row r="9" spans="1:9">
      <c r="A9" s="3374"/>
      <c r="B9" s="3375" t="s">
        <v>1059</v>
      </c>
      <c r="C9" s="3375"/>
      <c r="D9" s="1213"/>
      <c r="E9" s="1211"/>
      <c r="F9" s="1214"/>
      <c r="G9" s="1214"/>
      <c r="H9" s="1215"/>
      <c r="I9" s="1216">
        <f t="shared" si="0"/>
        <v>0</v>
      </c>
    </row>
    <row r="10" spans="1:9">
      <c r="A10" s="3374"/>
      <c r="B10" s="3376" t="s">
        <v>1060</v>
      </c>
      <c r="C10" s="3376"/>
      <c r="D10" s="1217"/>
      <c r="E10" s="1217" t="e">
        <f>ROUND(D1*10000/D10/H9,0)</f>
        <v>#DIV/0!</v>
      </c>
      <c r="F10" s="1218"/>
      <c r="G10" s="1218"/>
      <c r="H10" s="1219"/>
      <c r="I10" s="1220">
        <f>SUM(I3:I9)</f>
        <v>0</v>
      </c>
    </row>
    <row r="11" spans="1:9" ht="14.25">
      <c r="A11" s="3374" t="s">
        <v>1061</v>
      </c>
      <c r="B11" s="3375" t="s">
        <v>1062</v>
      </c>
      <c r="C11" s="3375"/>
      <c r="D11" s="1213" t="s">
        <v>1063</v>
      </c>
      <c r="E11" s="1213" t="s">
        <v>1064</v>
      </c>
      <c r="F11" s="1214" t="s">
        <v>1065</v>
      </c>
      <c r="G11" s="1214" t="s">
        <v>1051</v>
      </c>
      <c r="H11" s="1221" t="s">
        <v>1066</v>
      </c>
      <c r="I11" s="1212" t="s">
        <v>1052</v>
      </c>
    </row>
    <row r="12" spans="1:9">
      <c r="A12" s="3374"/>
      <c r="B12" s="3375" t="s">
        <v>1067</v>
      </c>
      <c r="C12" s="3375"/>
      <c r="D12" s="1213"/>
      <c r="E12" s="1213"/>
      <c r="F12" s="1214"/>
      <c r="G12" s="1215"/>
      <c r="H12" s="1222"/>
      <c r="I12" s="1212">
        <f>ROUND(D12*E12*F12*G12/10000,0)</f>
        <v>0</v>
      </c>
    </row>
    <row r="13" spans="1:9">
      <c r="A13" s="3374"/>
      <c r="B13" s="3375" t="s">
        <v>1068</v>
      </c>
      <c r="C13" s="3375"/>
      <c r="D13" s="1213"/>
      <c r="E13" s="1213"/>
      <c r="F13" s="1214"/>
      <c r="G13" s="1215"/>
      <c r="H13" s="1222"/>
      <c r="I13" s="1212">
        <f>ROUND(D13*E13*F13*G13/10000,0)</f>
        <v>0</v>
      </c>
    </row>
    <row r="14" spans="1:9">
      <c r="A14" s="3374"/>
      <c r="B14" s="3375" t="s">
        <v>1069</v>
      </c>
      <c r="C14" s="3375"/>
      <c r="D14" s="1213"/>
      <c r="E14" s="1213"/>
      <c r="F14" s="1214"/>
      <c r="G14" s="1215"/>
      <c r="H14" s="1222"/>
      <c r="I14" s="1212">
        <f>ROUND(D14*E14*F14*G14/10000,0)</f>
        <v>0</v>
      </c>
    </row>
    <row r="15" spans="1:9">
      <c r="A15" s="3374"/>
      <c r="B15" s="3376" t="s">
        <v>1060</v>
      </c>
      <c r="C15" s="3376"/>
      <c r="D15" s="1217"/>
      <c r="E15" s="1217">
        <f>SUM(E12:E14)</f>
        <v>0</v>
      </c>
      <c r="F15" s="1218"/>
      <c r="G15" s="1215"/>
      <c r="H15" s="1222"/>
      <c r="I15" s="1223">
        <f>SUM(I12:I14)</f>
        <v>0</v>
      </c>
    </row>
    <row r="16" spans="1:9" ht="24">
      <c r="A16" s="3374" t="s">
        <v>1070</v>
      </c>
      <c r="B16" s="3375" t="s">
        <v>1071</v>
      </c>
      <c r="C16" s="3375"/>
      <c r="D16" s="1213" t="s">
        <v>1047</v>
      </c>
      <c r="E16" s="1224" t="s">
        <v>1072</v>
      </c>
      <c r="F16" s="1214" t="s">
        <v>1073</v>
      </c>
      <c r="G16" s="1215" t="s">
        <v>1051</v>
      </c>
      <c r="H16" s="1221" t="s">
        <v>1066</v>
      </c>
      <c r="I16" s="1212" t="s">
        <v>1052</v>
      </c>
    </row>
    <row r="17" spans="1:9" ht="14.25">
      <c r="A17" s="3374"/>
      <c r="B17" s="3375" t="s">
        <v>1074</v>
      </c>
      <c r="C17" s="3375"/>
      <c r="D17" s="1213"/>
      <c r="E17" s="1213"/>
      <c r="F17" s="1214"/>
      <c r="G17" s="1215"/>
      <c r="H17" s="1225"/>
      <c r="I17" s="1226">
        <f>ROUND(D17*E17*F17*G17/10000,0)</f>
        <v>0</v>
      </c>
    </row>
    <row r="18" spans="1:9" ht="14.25">
      <c r="A18" s="3374"/>
      <c r="B18" s="3375" t="s">
        <v>1075</v>
      </c>
      <c r="C18" s="3375"/>
      <c r="D18" s="1213"/>
      <c r="E18" s="1213"/>
      <c r="F18" s="1214"/>
      <c r="G18" s="1215"/>
      <c r="H18" s="1225"/>
      <c r="I18" s="1226">
        <f>ROUND(D18*E18*F18*G18/10000,0)</f>
        <v>0</v>
      </c>
    </row>
    <row r="19" spans="1:9" ht="14.25">
      <c r="A19" s="3374"/>
      <c r="B19" s="3375" t="s">
        <v>1076</v>
      </c>
      <c r="C19" s="3375"/>
      <c r="D19" s="1213"/>
      <c r="E19" s="1213"/>
      <c r="F19" s="1214"/>
      <c r="G19" s="1215"/>
      <c r="H19" s="1225"/>
      <c r="I19" s="1226">
        <f>ROUND(D19*E19*F19*G19/10000,0)</f>
        <v>0</v>
      </c>
    </row>
    <row r="20" spans="1:9">
      <c r="A20" s="3374"/>
      <c r="B20" s="3376" t="s">
        <v>1060</v>
      </c>
      <c r="C20" s="3376"/>
      <c r="D20" s="1217">
        <f>SUM(D17:D19)</f>
        <v>0</v>
      </c>
      <c r="E20" s="1217"/>
      <c r="F20" s="1218"/>
      <c r="G20" s="1215"/>
      <c r="H20" s="1222"/>
      <c r="I20" s="1223">
        <f>SUM(I17:I19)</f>
        <v>0</v>
      </c>
    </row>
    <row r="21" spans="1:9">
      <c r="A21" s="3374" t="s">
        <v>1077</v>
      </c>
      <c r="B21" s="3377"/>
      <c r="C21" s="3377"/>
      <c r="D21" s="3377"/>
      <c r="E21" s="3377"/>
      <c r="F21" s="3377"/>
      <c r="G21" s="3377"/>
      <c r="H21" s="1501">
        <v>0.1</v>
      </c>
      <c r="I21" s="1220">
        <f>ROUND(I10*H21,0)</f>
        <v>0</v>
      </c>
    </row>
    <row r="22" spans="1:9" ht="14.25">
      <c r="A22" s="3378" t="s">
        <v>1078</v>
      </c>
      <c r="B22" s="3379"/>
      <c r="C22" s="3380"/>
      <c r="D22" s="1227" t="s">
        <v>1079</v>
      </c>
      <c r="E22" s="1227" t="s">
        <v>1080</v>
      </c>
      <c r="F22" s="1228" t="s">
        <v>1081</v>
      </c>
      <c r="G22" s="1228" t="s">
        <v>1082</v>
      </c>
      <c r="H22" s="1221" t="s">
        <v>1083</v>
      </c>
      <c r="I22" s="1212" t="s">
        <v>1084</v>
      </c>
    </row>
    <row r="23" spans="1:9" ht="14.25" thickBot="1">
      <c r="A23" s="3381"/>
      <c r="B23" s="3382"/>
      <c r="C23" s="3383"/>
      <c r="D23" s="1229"/>
      <c r="E23" s="1229"/>
      <c r="F23" s="1229"/>
      <c r="G23" s="1230"/>
      <c r="H23" s="1231"/>
      <c r="I23" s="1232">
        <f>ROUND(E23*D23*F23*(1-G23)/10000,0)</f>
        <v>0</v>
      </c>
    </row>
    <row r="26" spans="1:9">
      <c r="A26" s="1233" t="s">
        <v>1085</v>
      </c>
      <c r="B26" s="1233"/>
      <c r="C26" s="1233"/>
      <c r="D26" s="1233"/>
      <c r="E26" s="3371">
        <f>C27-C30-C31-C32</f>
        <v>0</v>
      </c>
      <c r="F26" s="3371"/>
      <c r="G26" s="3371"/>
      <c r="H26" s="1498" t="s">
        <v>1306</v>
      </c>
    </row>
    <row r="27" spans="1:9">
      <c r="A27" s="1234">
        <v>1</v>
      </c>
      <c r="B27" s="1235" t="s">
        <v>1086</v>
      </c>
      <c r="C27" s="1235">
        <f>C28+C29</f>
        <v>0</v>
      </c>
      <c r="D27" s="1235"/>
      <c r="E27" s="3372"/>
      <c r="F27" s="3372"/>
      <c r="G27" s="3372"/>
    </row>
    <row r="28" spans="1:9">
      <c r="A28" s="1236" t="s">
        <v>1087</v>
      </c>
      <c r="B28" s="1235" t="s">
        <v>1088</v>
      </c>
      <c r="C28" s="1235"/>
      <c r="D28" s="1235"/>
      <c r="E28" s="3372"/>
      <c r="F28" s="3372"/>
      <c r="G28" s="337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3"/>
      <c r="F32" s="3373"/>
      <c r="G32" s="3373"/>
    </row>
    <row r="33" spans="1:7" hidden="1">
      <c r="A33" s="3368" t="s">
        <v>1097</v>
      </c>
      <c r="B33" s="3369"/>
      <c r="C33" s="3369"/>
      <c r="D33" s="3370"/>
      <c r="E33" s="3371"/>
      <c r="F33" s="3371"/>
      <c r="G33" s="3371"/>
    </row>
    <row r="34" spans="1:7" hidden="1">
      <c r="A34" s="1238">
        <v>1</v>
      </c>
      <c r="B34" s="1235" t="s">
        <v>1098</v>
      </c>
      <c r="C34" s="1235"/>
      <c r="D34" s="1235"/>
      <c r="E34" s="3372"/>
      <c r="F34" s="3372"/>
      <c r="G34" s="3372"/>
    </row>
    <row r="35" spans="1:7" hidden="1">
      <c r="A35" s="1238">
        <v>2</v>
      </c>
      <c r="B35" s="1235" t="s">
        <v>1099</v>
      </c>
      <c r="C35" s="1235"/>
      <c r="D35" s="1235"/>
      <c r="E35" s="3372"/>
      <c r="F35" s="3372"/>
      <c r="G35" s="3372"/>
    </row>
    <row r="36" spans="1:7" hidden="1">
      <c r="A36" s="1238">
        <v>3</v>
      </c>
      <c r="B36" s="1235" t="s">
        <v>1100</v>
      </c>
      <c r="C36" s="1235"/>
      <c r="D36" s="1235"/>
      <c r="E36" s="3372"/>
      <c r="F36" s="3372"/>
      <c r="G36" s="3372"/>
    </row>
    <row r="37" spans="1:7" hidden="1">
      <c r="A37" s="1238">
        <v>4</v>
      </c>
      <c r="B37" s="1235" t="s">
        <v>1101</v>
      </c>
      <c r="C37" s="1235"/>
      <c r="D37" s="1235"/>
      <c r="E37" s="3372"/>
      <c r="F37" s="3372"/>
      <c r="G37" s="3372"/>
    </row>
    <row r="38" spans="1:7" hidden="1">
      <c r="A38" s="3368" t="s">
        <v>1102</v>
      </c>
      <c r="B38" s="3369"/>
      <c r="C38" s="3369"/>
      <c r="D38" s="3370"/>
      <c r="E38" s="3371"/>
      <c r="F38" s="3371"/>
      <c r="G38" s="33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38"/>
      <c r="M2" s="2939"/>
      <c r="N2" s="2939"/>
      <c r="O2" s="2939"/>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39707.960000000006</v>
      </c>
      <c r="E3" s="1038"/>
      <c r="F3" s="2073"/>
      <c r="G3" s="1038"/>
      <c r="H3" s="1038"/>
      <c r="I3" s="1038"/>
      <c r="J3" s="1038"/>
      <c r="K3" s="2069"/>
      <c r="L3" s="2938"/>
      <c r="M3" s="2939"/>
      <c r="N3" s="2939"/>
      <c r="O3" s="2939"/>
      <c r="P3" s="2070"/>
      <c r="Q3" s="2071"/>
      <c r="R3" s="2071"/>
      <c r="S3" s="2071"/>
      <c r="T3" s="2071"/>
      <c r="U3" s="2071"/>
      <c r="V3" s="2071"/>
      <c r="W3" s="2071"/>
      <c r="X3" s="2071"/>
      <c r="Y3" s="2071"/>
      <c r="Z3" s="2071"/>
      <c r="AA3" s="2071"/>
      <c r="AB3" s="2071"/>
      <c r="AC3" s="1192"/>
    </row>
    <row r="4" spans="1:29" ht="15">
      <c r="A4" s="361" t="s">
        <v>2356</v>
      </c>
      <c r="B4" s="362"/>
      <c r="C4" s="3296" t="s">
        <v>2357</v>
      </c>
      <c r="D4" s="3309"/>
      <c r="E4" s="3310" t="s">
        <v>2358</v>
      </c>
      <c r="F4" s="3311"/>
      <c r="G4" s="3296" t="s">
        <v>2359</v>
      </c>
      <c r="H4" s="3309"/>
      <c r="I4" s="3296" t="s">
        <v>2360</v>
      </c>
      <c r="J4" s="3309"/>
      <c r="K4" s="2074" t="s">
        <v>2361</v>
      </c>
      <c r="L4" s="2940"/>
      <c r="M4" s="2941"/>
      <c r="N4" s="2941"/>
      <c r="O4" s="2941"/>
      <c r="P4" s="3312" t="s">
        <v>2362</v>
      </c>
      <c r="Q4" s="3313"/>
      <c r="R4" s="3318" t="s">
        <v>2358</v>
      </c>
      <c r="S4" s="3319"/>
      <c r="T4" s="3318" t="s">
        <v>2359</v>
      </c>
      <c r="U4" s="3319"/>
      <c r="V4" s="3305" t="s">
        <v>2360</v>
      </c>
      <c r="W4" s="3305"/>
      <c r="X4" s="1538"/>
      <c r="Y4" s="3318" t="s">
        <v>2362</v>
      </c>
      <c r="Z4" s="3319"/>
      <c r="AA4" s="3306" t="s">
        <v>2358</v>
      </c>
      <c r="AB4" s="3306" t="s">
        <v>2359</v>
      </c>
      <c r="AC4" s="3306" t="s">
        <v>2360</v>
      </c>
    </row>
    <row r="5" spans="1:29" ht="15">
      <c r="A5" s="364"/>
      <c r="B5" s="365"/>
      <c r="C5" s="3326" t="s">
        <v>2363</v>
      </c>
      <c r="D5" s="3327"/>
      <c r="E5" s="3333" t="s">
        <v>2364</v>
      </c>
      <c r="F5" s="3334"/>
      <c r="G5" s="3326" t="s">
        <v>2365</v>
      </c>
      <c r="H5" s="3327"/>
      <c r="I5" s="3326" t="s">
        <v>2366</v>
      </c>
      <c r="J5" s="3327"/>
      <c r="K5" s="2075"/>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2075"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SUMIF(58:58,YEAR(E7)&amp;"-"&amp;MONTH(E7),59:59)</f>
        <v>0</v>
      </c>
      <c r="G7" s="372"/>
      <c r="H7" s="371">
        <f>SUMIF(58:58,YEAR(G7)&amp;"-"&amp;MONTH(G7),59:59)</f>
        <v>0</v>
      </c>
      <c r="I7" s="372"/>
      <c r="J7" s="371">
        <f>SUMIF(58:58,YEAR(I7)&amp;"-"&amp;MONTH(I7),59:59)</f>
        <v>0</v>
      </c>
      <c r="K7" s="2076"/>
      <c r="L7" s="2942"/>
      <c r="M7" s="2943"/>
      <c r="N7" s="2943"/>
      <c r="O7" s="2943"/>
      <c r="P7" s="3328" t="s">
        <v>2370</v>
      </c>
      <c r="Q7" s="3330"/>
      <c r="R7" s="710" t="s">
        <v>23</v>
      </c>
      <c r="S7" s="711">
        <f t="shared" ref="S7:S15" si="0">F7</f>
        <v>0</v>
      </c>
      <c r="T7" s="710" t="s">
        <v>23</v>
      </c>
      <c r="U7" s="711">
        <f t="shared" ref="U7:U15" si="1">H7</f>
        <v>0</v>
      </c>
      <c r="V7" s="710" t="s">
        <v>23</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2"/>
      <c r="M8" s="2943"/>
      <c r="N8" s="2943"/>
      <c r="O8" s="2943"/>
      <c r="P8" s="3328" t="s">
        <v>2373</v>
      </c>
      <c r="Q8" s="3329"/>
      <c r="R8" s="710" t="s">
        <v>23</v>
      </c>
      <c r="S8" s="711">
        <f t="shared" si="0"/>
        <v>0</v>
      </c>
      <c r="T8" s="710" t="s">
        <v>23</v>
      </c>
      <c r="U8" s="711">
        <f t="shared" si="1"/>
        <v>0</v>
      </c>
      <c r="V8" s="710" t="s">
        <v>23</v>
      </c>
      <c r="W8" s="711">
        <f t="shared" si="2"/>
        <v>0</v>
      </c>
      <c r="X8" s="712"/>
      <c r="Y8" s="3328" t="s">
        <v>2373</v>
      </c>
      <c r="Z8" s="332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2"/>
      <c r="M9" s="2943"/>
      <c r="N9" s="2943"/>
      <c r="O9" s="2943"/>
      <c r="P9" s="3298"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298"/>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298"/>
      <c r="Q11" s="1526" t="str">
        <f t="shared" si="6"/>
        <v>容积率</v>
      </c>
      <c r="R11" s="710" t="s">
        <v>21</v>
      </c>
      <c r="S11" s="711" t="e">
        <f t="shared" si="0"/>
        <v>#N/A</v>
      </c>
      <c r="T11" s="710" t="s">
        <v>21</v>
      </c>
      <c r="U11" s="711" t="e">
        <f t="shared" si="1"/>
        <v>#N/A</v>
      </c>
      <c r="V11" s="710" t="s">
        <v>21</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2"/>
      <c r="M12" s="2943"/>
      <c r="N12" s="2943"/>
      <c r="O12" s="2943"/>
      <c r="P12" s="3298"/>
      <c r="Q12" s="1526">
        <f t="shared" si="6"/>
        <v>111</v>
      </c>
      <c r="R12" s="710" t="s">
        <v>21</v>
      </c>
      <c r="S12" s="711">
        <f t="shared" si="0"/>
        <v>100</v>
      </c>
      <c r="T12" s="710" t="s">
        <v>21</v>
      </c>
      <c r="U12" s="711">
        <f t="shared" si="1"/>
        <v>100</v>
      </c>
      <c r="V12" s="710" t="s">
        <v>21</v>
      </c>
      <c r="W12" s="711">
        <f t="shared" si="2"/>
        <v>100</v>
      </c>
      <c r="X12" s="712"/>
      <c r="Y12" s="319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7"/>
      <c r="M13" s="2941"/>
      <c r="N13" s="2941"/>
      <c r="O13" s="2941"/>
      <c r="P13" s="3298"/>
      <c r="Q13" s="1526">
        <f t="shared" si="6"/>
        <v>111</v>
      </c>
      <c r="R13" s="710" t="s">
        <v>21</v>
      </c>
      <c r="S13" s="711">
        <f t="shared" si="0"/>
        <v>100</v>
      </c>
      <c r="T13" s="710" t="s">
        <v>21</v>
      </c>
      <c r="U13" s="711">
        <f t="shared" si="1"/>
        <v>100</v>
      </c>
      <c r="V13" s="710" t="s">
        <v>21</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7"/>
      <c r="M14" s="2941"/>
      <c r="N14" s="2941"/>
      <c r="O14" s="2941"/>
      <c r="P14" s="3298"/>
      <c r="Q14" s="1526">
        <f t="shared" si="6"/>
        <v>111</v>
      </c>
      <c r="R14" s="710" t="s">
        <v>21</v>
      </c>
      <c r="S14" s="711">
        <f t="shared" si="0"/>
        <v>100</v>
      </c>
      <c r="T14" s="710" t="s">
        <v>21</v>
      </c>
      <c r="U14" s="711">
        <f t="shared" si="1"/>
        <v>100</v>
      </c>
      <c r="V14" s="710" t="s">
        <v>21</v>
      </c>
      <c r="W14" s="711">
        <f t="shared" si="2"/>
        <v>100</v>
      </c>
      <c r="X14" s="712"/>
      <c r="Y14" s="3193"/>
      <c r="Z14" s="55">
        <f t="shared" si="7"/>
        <v>111</v>
      </c>
      <c r="AA14" s="713">
        <f t="shared" si="3"/>
        <v>1</v>
      </c>
      <c r="AB14" s="713">
        <f t="shared" si="4"/>
        <v>1</v>
      </c>
      <c r="AC14" s="713">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95" t="s">
        <v>2381</v>
      </c>
      <c r="Q15" s="1535" t="str">
        <f t="shared" si="6"/>
        <v>居住社区成熟度</v>
      </c>
      <c r="R15" s="714" t="s">
        <v>21</v>
      </c>
      <c r="S15" s="715">
        <f t="shared" si="0"/>
        <v>100</v>
      </c>
      <c r="T15" s="714" t="s">
        <v>21</v>
      </c>
      <c r="U15" s="715">
        <f t="shared" si="1"/>
        <v>100</v>
      </c>
      <c r="V15" s="714" t="s">
        <v>21</v>
      </c>
      <c r="W15" s="715">
        <f t="shared" si="2"/>
        <v>100</v>
      </c>
      <c r="X15" s="1538"/>
      <c r="Y15" s="3301"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47"/>
      <c r="M16" s="2941"/>
      <c r="N16" s="2941"/>
      <c r="O16" s="2941"/>
      <c r="P16" s="3396"/>
      <c r="Q16" s="1535"/>
      <c r="R16" s="714"/>
      <c r="S16" s="715"/>
      <c r="T16" s="714"/>
      <c r="U16" s="715"/>
      <c r="V16" s="714"/>
      <c r="W16" s="715"/>
      <c r="X16" s="1538"/>
      <c r="Y16" s="3302"/>
      <c r="Z16" s="1539"/>
      <c r="AA16" s="1536">
        <v>1</v>
      </c>
      <c r="AB16" s="1536">
        <v>1</v>
      </c>
      <c r="AC16" s="1536">
        <v>1</v>
      </c>
    </row>
    <row r="17" spans="1:29" ht="15">
      <c r="A17" s="387"/>
      <c r="B17" s="410" t="s">
        <v>1945</v>
      </c>
      <c r="C17" s="2085"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96"/>
      <c r="Q17" s="1535" t="str">
        <f>B17</f>
        <v>交通便捷度</v>
      </c>
      <c r="R17" s="714" t="s">
        <v>21</v>
      </c>
      <c r="S17" s="715">
        <f>F17</f>
        <v>100</v>
      </c>
      <c r="T17" s="714" t="s">
        <v>21</v>
      </c>
      <c r="U17" s="715">
        <f>H17</f>
        <v>100</v>
      </c>
      <c r="V17" s="714" t="s">
        <v>21</v>
      </c>
      <c r="W17" s="715">
        <f>J17</f>
        <v>100</v>
      </c>
      <c r="X17" s="1538"/>
      <c r="Y17" s="3302"/>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47"/>
      <c r="M18" s="2941"/>
      <c r="N18" s="2941"/>
      <c r="O18" s="2941"/>
      <c r="P18" s="3396"/>
      <c r="Q18" s="1535"/>
      <c r="R18" s="714"/>
      <c r="S18" s="715"/>
      <c r="T18" s="714"/>
      <c r="U18" s="715"/>
      <c r="V18" s="714"/>
      <c r="W18" s="715"/>
      <c r="X18" s="1538"/>
      <c r="Y18" s="3302"/>
      <c r="Z18" s="1539"/>
      <c r="AA18" s="1536">
        <v>1</v>
      </c>
      <c r="AB18" s="1536">
        <v>1</v>
      </c>
      <c r="AC18" s="1536">
        <v>1</v>
      </c>
    </row>
    <row r="19" spans="1:29" ht="15">
      <c r="A19" s="387"/>
      <c r="B19" s="410" t="s">
        <v>1944</v>
      </c>
      <c r="C19" s="2085"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96"/>
      <c r="Q19" s="1535" t="str">
        <f>B19</f>
        <v>公共配套设施</v>
      </c>
      <c r="R19" s="714" t="s">
        <v>21</v>
      </c>
      <c r="S19" s="715">
        <f>F19</f>
        <v>100</v>
      </c>
      <c r="T19" s="714" t="s">
        <v>21</v>
      </c>
      <c r="U19" s="715">
        <f>H19</f>
        <v>100</v>
      </c>
      <c r="V19" s="714" t="s">
        <v>21</v>
      </c>
      <c r="W19" s="715">
        <f>J19</f>
        <v>100</v>
      </c>
      <c r="X19" s="1538"/>
      <c r="Y19" s="3302"/>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47"/>
      <c r="M20" s="2941"/>
      <c r="N20" s="2941"/>
      <c r="O20" s="2941"/>
      <c r="P20" s="3396"/>
      <c r="Q20" s="1535"/>
      <c r="R20" s="714"/>
      <c r="S20" s="715"/>
      <c r="T20" s="714"/>
      <c r="U20" s="715"/>
      <c r="V20" s="714"/>
      <c r="W20" s="715"/>
      <c r="X20" s="1538"/>
      <c r="Y20" s="3302"/>
      <c r="Z20" s="1539"/>
      <c r="AA20" s="1536">
        <v>1</v>
      </c>
      <c r="AB20" s="1536">
        <v>1</v>
      </c>
      <c r="AC20" s="1536">
        <v>1</v>
      </c>
    </row>
    <row r="21" spans="1:29" ht="15">
      <c r="A21" s="387"/>
      <c r="B21" s="1293" t="s">
        <v>1946</v>
      </c>
      <c r="C21" s="208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96"/>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47"/>
      <c r="M22" s="2941"/>
      <c r="N22" s="2941"/>
      <c r="O22" s="2941"/>
      <c r="P22" s="3396"/>
      <c r="Q22" s="1535"/>
      <c r="R22" s="714"/>
      <c r="S22" s="715"/>
      <c r="T22" s="714"/>
      <c r="U22" s="715"/>
      <c r="V22" s="714"/>
      <c r="W22" s="715"/>
      <c r="X22" s="1538"/>
      <c r="Y22" s="3302"/>
      <c r="Z22" s="1539"/>
      <c r="AA22" s="1536">
        <v>1</v>
      </c>
      <c r="AB22" s="1536">
        <v>1</v>
      </c>
      <c r="AC22" s="1536">
        <v>1</v>
      </c>
    </row>
    <row r="23" spans="1:29" ht="15">
      <c r="A23" s="387"/>
      <c r="B23" s="410" t="s">
        <v>1947</v>
      </c>
      <c r="C23" s="2085"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96"/>
      <c r="Q23" s="1535" t="str">
        <f>B23</f>
        <v>自然及人文环境</v>
      </c>
      <c r="R23" s="714" t="s">
        <v>21</v>
      </c>
      <c r="S23" s="715">
        <f>F23</f>
        <v>100</v>
      </c>
      <c r="T23" s="714" t="s">
        <v>21</v>
      </c>
      <c r="U23" s="715">
        <f>H23</f>
        <v>100</v>
      </c>
      <c r="V23" s="714" t="s">
        <v>21</v>
      </c>
      <c r="W23" s="715">
        <f>J23</f>
        <v>100</v>
      </c>
      <c r="X23" s="1538"/>
      <c r="Y23" s="3302"/>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47"/>
      <c r="M24" s="2941"/>
      <c r="N24" s="2941"/>
      <c r="O24" s="2941"/>
      <c r="P24" s="3396"/>
      <c r="Q24" s="1535"/>
      <c r="R24" s="714"/>
      <c r="S24" s="715"/>
      <c r="T24" s="714"/>
      <c r="U24" s="715"/>
      <c r="V24" s="714"/>
      <c r="W24" s="715"/>
      <c r="X24" s="1538"/>
      <c r="Y24" s="3302"/>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47"/>
      <c r="M25" s="2941"/>
      <c r="N25" s="2941"/>
      <c r="O25" s="2941"/>
      <c r="P25" s="3396"/>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02"/>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47"/>
      <c r="M26" s="2941"/>
      <c r="N26" s="2941"/>
      <c r="O26" s="2941"/>
      <c r="P26" s="3396"/>
      <c r="Q26" s="1535" t="str">
        <f t="shared" si="11"/>
        <v>朝向</v>
      </c>
      <c r="R26" s="714" t="s">
        <v>21</v>
      </c>
      <c r="S26" s="715">
        <f t="shared" si="12"/>
        <v>100</v>
      </c>
      <c r="T26" s="714" t="s">
        <v>21</v>
      </c>
      <c r="U26" s="715">
        <f t="shared" si="13"/>
        <v>100</v>
      </c>
      <c r="V26" s="714" t="s">
        <v>21</v>
      </c>
      <c r="W26" s="715">
        <f t="shared" si="14"/>
        <v>100</v>
      </c>
      <c r="X26" s="1538"/>
      <c r="Y26" s="3302"/>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2"/>
      <c r="M27" s="2943"/>
      <c r="N27" s="2943"/>
      <c r="O27" s="2943"/>
      <c r="P27" s="3396"/>
      <c r="Q27" s="1526">
        <f t="shared" si="11"/>
        <v>111</v>
      </c>
      <c r="R27" s="710" t="s">
        <v>21</v>
      </c>
      <c r="S27" s="711">
        <f t="shared" si="12"/>
        <v>100</v>
      </c>
      <c r="T27" s="710" t="s">
        <v>21</v>
      </c>
      <c r="U27" s="711">
        <f t="shared" si="13"/>
        <v>100</v>
      </c>
      <c r="V27" s="710" t="s">
        <v>21</v>
      </c>
      <c r="W27" s="711">
        <f t="shared" si="14"/>
        <v>100</v>
      </c>
      <c r="X27" s="712"/>
      <c r="Y27" s="3302"/>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47"/>
      <c r="M28" s="2941"/>
      <c r="N28" s="2941"/>
      <c r="O28" s="2941"/>
      <c r="P28" s="3396"/>
      <c r="Q28" s="1535">
        <f t="shared" si="11"/>
        <v>111</v>
      </c>
      <c r="R28" s="714" t="s">
        <v>21</v>
      </c>
      <c r="S28" s="715">
        <f t="shared" si="12"/>
        <v>100</v>
      </c>
      <c r="T28" s="714" t="s">
        <v>21</v>
      </c>
      <c r="U28" s="715">
        <f t="shared" si="13"/>
        <v>100</v>
      </c>
      <c r="V28" s="714" t="s">
        <v>21</v>
      </c>
      <c r="W28" s="715">
        <f t="shared" si="14"/>
        <v>100</v>
      </c>
      <c r="X28" s="1538"/>
      <c r="Y28" s="3302"/>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47"/>
      <c r="M29" s="2941"/>
      <c r="N29" s="2941"/>
      <c r="O29" s="2941"/>
      <c r="P29" s="3396"/>
      <c r="Q29" s="1535">
        <f t="shared" si="11"/>
        <v>111</v>
      </c>
      <c r="R29" s="714" t="s">
        <v>21</v>
      </c>
      <c r="S29" s="715">
        <f t="shared" si="12"/>
        <v>100</v>
      </c>
      <c r="T29" s="714" t="s">
        <v>21</v>
      </c>
      <c r="U29" s="715">
        <f t="shared" si="13"/>
        <v>100</v>
      </c>
      <c r="V29" s="714" t="s">
        <v>21</v>
      </c>
      <c r="W29" s="715">
        <f t="shared" si="14"/>
        <v>100</v>
      </c>
      <c r="X29" s="1538"/>
      <c r="Y29" s="3302"/>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47"/>
      <c r="M30" s="2941"/>
      <c r="N30" s="2941"/>
      <c r="O30" s="2941"/>
      <c r="P30" s="3396"/>
      <c r="Q30" s="1535">
        <f t="shared" si="11"/>
        <v>111</v>
      </c>
      <c r="R30" s="714" t="s">
        <v>21</v>
      </c>
      <c r="S30" s="715">
        <f t="shared" si="12"/>
        <v>100</v>
      </c>
      <c r="T30" s="714" t="s">
        <v>21</v>
      </c>
      <c r="U30" s="715">
        <f t="shared" si="13"/>
        <v>100</v>
      </c>
      <c r="V30" s="714" t="s">
        <v>21</v>
      </c>
      <c r="W30" s="715">
        <f t="shared" si="14"/>
        <v>100</v>
      </c>
      <c r="X30" s="1538"/>
      <c r="Y30" s="3302"/>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47"/>
      <c r="M31" s="2941"/>
      <c r="N31" s="2941"/>
      <c r="O31" s="2941"/>
      <c r="P31" s="3396"/>
      <c r="Q31" s="1535">
        <f t="shared" si="11"/>
        <v>111</v>
      </c>
      <c r="R31" s="714" t="s">
        <v>21</v>
      </c>
      <c r="S31" s="715">
        <f t="shared" si="12"/>
        <v>100</v>
      </c>
      <c r="T31" s="714" t="s">
        <v>21</v>
      </c>
      <c r="U31" s="715">
        <f t="shared" si="13"/>
        <v>100</v>
      </c>
      <c r="V31" s="714" t="s">
        <v>21</v>
      </c>
      <c r="W31" s="715">
        <f t="shared" si="14"/>
        <v>100</v>
      </c>
      <c r="X31" s="1538"/>
      <c r="Y31" s="3302"/>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7"/>
      <c r="M32" s="2941"/>
      <c r="N32" s="2941"/>
      <c r="O32" s="2941"/>
      <c r="P32" s="3391" t="s">
        <v>2386</v>
      </c>
      <c r="Q32" s="1535" t="str">
        <f t="shared" si="11"/>
        <v>建筑类型</v>
      </c>
      <c r="R32" s="714" t="s">
        <v>21</v>
      </c>
      <c r="S32" s="715">
        <f t="shared" si="12"/>
        <v>100</v>
      </c>
      <c r="T32" s="714" t="s">
        <v>21</v>
      </c>
      <c r="U32" s="715">
        <f t="shared" si="13"/>
        <v>100</v>
      </c>
      <c r="V32" s="714" t="s">
        <v>21</v>
      </c>
      <c r="W32" s="715">
        <f t="shared" si="14"/>
        <v>100</v>
      </c>
      <c r="X32" s="1538"/>
      <c r="Y32" s="3304"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6"/>
      <c r="M33" s="2948"/>
      <c r="N33" s="2948"/>
      <c r="O33" s="2948"/>
      <c r="P33" s="3392"/>
      <c r="Q33" s="716" t="str">
        <f t="shared" si="11"/>
        <v>项目建筑规模</v>
      </c>
      <c r="R33" s="717" t="s">
        <v>21</v>
      </c>
      <c r="S33" s="718" t="e">
        <f t="shared" si="12"/>
        <v>#N/A</v>
      </c>
      <c r="T33" s="717" t="s">
        <v>21</v>
      </c>
      <c r="U33" s="718" t="e">
        <f t="shared" si="13"/>
        <v>#N/A</v>
      </c>
      <c r="V33" s="717" t="s">
        <v>21</v>
      </c>
      <c r="W33" s="718" t="e">
        <f t="shared" si="14"/>
        <v>#N/A</v>
      </c>
      <c r="X33" s="719"/>
      <c r="Y33" s="3304"/>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47"/>
      <c r="M34" s="2941"/>
      <c r="N34" s="2941"/>
      <c r="O34" s="2941"/>
      <c r="P34" s="3392"/>
      <c r="Q34" s="1535" t="str">
        <f t="shared" si="11"/>
        <v>建筑结构</v>
      </c>
      <c r="R34" s="714" t="s">
        <v>21</v>
      </c>
      <c r="S34" s="715">
        <f t="shared" si="12"/>
        <v>100</v>
      </c>
      <c r="T34" s="714" t="s">
        <v>21</v>
      </c>
      <c r="U34" s="715">
        <f t="shared" si="13"/>
        <v>100</v>
      </c>
      <c r="V34" s="714" t="s">
        <v>21</v>
      </c>
      <c r="W34" s="715">
        <f t="shared" si="14"/>
        <v>100</v>
      </c>
      <c r="X34" s="1538"/>
      <c r="Y34" s="3304"/>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47"/>
      <c r="M35" s="2941"/>
      <c r="N35" s="2941"/>
      <c r="O35" s="2941"/>
      <c r="P35" s="3392"/>
      <c r="Q35" s="1535" t="str">
        <f t="shared" si="11"/>
        <v>建筑品质</v>
      </c>
      <c r="R35" s="714" t="s">
        <v>21</v>
      </c>
      <c r="S35" s="715">
        <f t="shared" si="12"/>
        <v>100</v>
      </c>
      <c r="T35" s="714" t="s">
        <v>21</v>
      </c>
      <c r="U35" s="715">
        <f t="shared" si="13"/>
        <v>100</v>
      </c>
      <c r="V35" s="714" t="s">
        <v>21</v>
      </c>
      <c r="W35" s="715">
        <f t="shared" si="14"/>
        <v>100</v>
      </c>
      <c r="X35" s="1538"/>
      <c r="Y35" s="3304"/>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47"/>
      <c r="M36" s="2941"/>
      <c r="N36" s="2941"/>
      <c r="O36" s="2941"/>
      <c r="P36" s="3392"/>
      <c r="Q36" s="1535" t="str">
        <f t="shared" si="11"/>
        <v>公共部分装修</v>
      </c>
      <c r="R36" s="714" t="s">
        <v>21</v>
      </c>
      <c r="S36" s="715">
        <f t="shared" si="12"/>
        <v>100</v>
      </c>
      <c r="T36" s="714" t="s">
        <v>21</v>
      </c>
      <c r="U36" s="715">
        <f t="shared" si="13"/>
        <v>100</v>
      </c>
      <c r="V36" s="714" t="s">
        <v>21</v>
      </c>
      <c r="W36" s="715">
        <f t="shared" si="14"/>
        <v>100</v>
      </c>
      <c r="X36" s="1538"/>
      <c r="Y36" s="3304"/>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92"/>
      <c r="Q37" s="1526" t="str">
        <f t="shared" si="11"/>
        <v>成新度</v>
      </c>
      <c r="R37" s="710" t="s">
        <v>21</v>
      </c>
      <c r="S37" s="711" t="e">
        <f t="shared" si="12"/>
        <v>#N/A</v>
      </c>
      <c r="T37" s="710" t="s">
        <v>21</v>
      </c>
      <c r="U37" s="711" t="e">
        <f t="shared" si="13"/>
        <v>#N/A</v>
      </c>
      <c r="V37" s="710" t="s">
        <v>21</v>
      </c>
      <c r="W37" s="711" t="e">
        <f t="shared" si="14"/>
        <v>#N/A</v>
      </c>
      <c r="X37" s="712"/>
      <c r="Y37" s="3304"/>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47"/>
      <c r="M38" s="2941"/>
      <c r="N38" s="2941"/>
      <c r="O38" s="2941"/>
      <c r="P38" s="3392" t="s">
        <v>2386</v>
      </c>
      <c r="Q38" s="1535" t="str">
        <f t="shared" si="11"/>
        <v>物业管理</v>
      </c>
      <c r="R38" s="714" t="s">
        <v>21</v>
      </c>
      <c r="S38" s="715">
        <f t="shared" si="12"/>
        <v>100</v>
      </c>
      <c r="T38" s="714" t="s">
        <v>21</v>
      </c>
      <c r="U38" s="715">
        <f t="shared" si="13"/>
        <v>100</v>
      </c>
      <c r="V38" s="714" t="s">
        <v>21</v>
      </c>
      <c r="W38" s="715">
        <f t="shared" si="14"/>
        <v>100</v>
      </c>
      <c r="X38" s="1538"/>
      <c r="Y38" s="3304"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47"/>
      <c r="M39" s="2941"/>
      <c r="N39" s="2941"/>
      <c r="O39" s="2941"/>
      <c r="P39" s="3392"/>
      <c r="Q39" s="1535" t="str">
        <f t="shared" si="11"/>
        <v>市政基础设施</v>
      </c>
      <c r="R39" s="714" t="s">
        <v>21</v>
      </c>
      <c r="S39" s="715">
        <f t="shared" si="12"/>
        <v>100</v>
      </c>
      <c r="T39" s="714" t="s">
        <v>21</v>
      </c>
      <c r="U39" s="715">
        <f t="shared" si="13"/>
        <v>100</v>
      </c>
      <c r="V39" s="714" t="s">
        <v>21</v>
      </c>
      <c r="W39" s="715">
        <f t="shared" si="14"/>
        <v>100</v>
      </c>
      <c r="X39" s="1538"/>
      <c r="Y39" s="3304"/>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7"/>
      <c r="M40" s="2941"/>
      <c r="N40" s="2941"/>
      <c r="O40" s="2941"/>
      <c r="P40" s="3392"/>
      <c r="Q40" s="1535" t="str">
        <f t="shared" si="11"/>
        <v>房型</v>
      </c>
      <c r="R40" s="714" t="s">
        <v>21</v>
      </c>
      <c r="S40" s="715">
        <f t="shared" si="12"/>
        <v>100</v>
      </c>
      <c r="T40" s="714" t="s">
        <v>21</v>
      </c>
      <c r="U40" s="715">
        <f t="shared" si="13"/>
        <v>100</v>
      </c>
      <c r="V40" s="714" t="s">
        <v>21</v>
      </c>
      <c r="W40" s="715">
        <f t="shared" si="14"/>
        <v>100</v>
      </c>
      <c r="X40" s="1538"/>
      <c r="Y40" s="3304"/>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6"/>
      <c r="M41" s="2948"/>
      <c r="N41" s="2948"/>
      <c r="O41" s="2948"/>
      <c r="P41" s="3392"/>
      <c r="Q41" s="716" t="str">
        <f t="shared" si="11"/>
        <v>单套/主力户型建筑面积</v>
      </c>
      <c r="R41" s="717" t="s">
        <v>21</v>
      </c>
      <c r="S41" s="718">
        <f t="shared" si="12"/>
        <v>100</v>
      </c>
      <c r="T41" s="717" t="s">
        <v>21</v>
      </c>
      <c r="U41" s="718">
        <f t="shared" si="13"/>
        <v>100</v>
      </c>
      <c r="V41" s="717" t="s">
        <v>21</v>
      </c>
      <c r="W41" s="718">
        <f t="shared" si="14"/>
        <v>100</v>
      </c>
      <c r="X41" s="719"/>
      <c r="Y41" s="3304"/>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47"/>
      <c r="M42" s="2941"/>
      <c r="N42" s="2941"/>
      <c r="O42" s="2941"/>
      <c r="P42" s="3392"/>
      <c r="Q42" s="1535" t="str">
        <f t="shared" si="11"/>
        <v>内部装修</v>
      </c>
      <c r="R42" s="714" t="s">
        <v>21</v>
      </c>
      <c r="S42" s="715">
        <f t="shared" si="12"/>
        <v>100</v>
      </c>
      <c r="T42" s="714" t="s">
        <v>21</v>
      </c>
      <c r="U42" s="715">
        <f t="shared" si="13"/>
        <v>100</v>
      </c>
      <c r="V42" s="714" t="s">
        <v>21</v>
      </c>
      <c r="W42" s="715">
        <f t="shared" si="14"/>
        <v>100</v>
      </c>
      <c r="X42" s="1538"/>
      <c r="Y42" s="3304"/>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47"/>
      <c r="M43" s="2941"/>
      <c r="N43" s="2941"/>
      <c r="O43" s="2941"/>
      <c r="P43" s="3392"/>
      <c r="Q43" s="1535" t="str">
        <f t="shared" si="11"/>
        <v>内部装修维护情况</v>
      </c>
      <c r="R43" s="714" t="s">
        <v>21</v>
      </c>
      <c r="S43" s="715">
        <f t="shared" si="12"/>
        <v>100</v>
      </c>
      <c r="T43" s="714" t="s">
        <v>21</v>
      </c>
      <c r="U43" s="715">
        <f t="shared" si="13"/>
        <v>100</v>
      </c>
      <c r="V43" s="714" t="s">
        <v>21</v>
      </c>
      <c r="W43" s="715">
        <f t="shared" si="14"/>
        <v>100</v>
      </c>
      <c r="X43" s="1538"/>
      <c r="Y43" s="3304"/>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2"/>
      <c r="M44" s="2943"/>
      <c r="N44" s="2943"/>
      <c r="O44" s="2943"/>
      <c r="P44" s="3392"/>
      <c r="Q44" s="1526">
        <f t="shared" si="11"/>
        <v>111</v>
      </c>
      <c r="R44" s="710" t="s">
        <v>21</v>
      </c>
      <c r="S44" s="711">
        <f t="shared" si="12"/>
        <v>100</v>
      </c>
      <c r="T44" s="710" t="s">
        <v>21</v>
      </c>
      <c r="U44" s="711">
        <f t="shared" si="13"/>
        <v>100</v>
      </c>
      <c r="V44" s="710" t="s">
        <v>21</v>
      </c>
      <c r="W44" s="711">
        <f t="shared" si="14"/>
        <v>100</v>
      </c>
      <c r="X44" s="712"/>
      <c r="Y44" s="330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7"/>
      <c r="M45" s="2941"/>
      <c r="N45" s="2941"/>
      <c r="O45" s="2941"/>
      <c r="P45" s="3392"/>
      <c r="Q45" s="1535">
        <f t="shared" si="11"/>
        <v>111</v>
      </c>
      <c r="R45" s="714" t="s">
        <v>21</v>
      </c>
      <c r="S45" s="715">
        <f t="shared" si="12"/>
        <v>100</v>
      </c>
      <c r="T45" s="714" t="s">
        <v>21</v>
      </c>
      <c r="U45" s="715">
        <f t="shared" si="13"/>
        <v>100</v>
      </c>
      <c r="V45" s="714" t="s">
        <v>21</v>
      </c>
      <c r="W45" s="715">
        <f t="shared" si="14"/>
        <v>100</v>
      </c>
      <c r="X45" s="1538"/>
      <c r="Y45" s="3304"/>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7"/>
      <c r="M46" s="2941"/>
      <c r="N46" s="2941"/>
      <c r="O46" s="2941"/>
      <c r="P46" s="3393"/>
      <c r="Q46" s="1535">
        <f t="shared" si="11"/>
        <v>111</v>
      </c>
      <c r="R46" s="714" t="s">
        <v>20</v>
      </c>
      <c r="S46" s="715">
        <f t="shared" si="12"/>
        <v>100</v>
      </c>
      <c r="T46" s="714" t="s">
        <v>20</v>
      </c>
      <c r="U46" s="715">
        <f t="shared" si="13"/>
        <v>100</v>
      </c>
      <c r="V46" s="714" t="s">
        <v>20</v>
      </c>
      <c r="W46" s="715">
        <f t="shared" si="14"/>
        <v>100</v>
      </c>
      <c r="X46" s="1538"/>
      <c r="Y46" s="3394"/>
      <c r="Z46" s="1539">
        <f t="shared" si="18"/>
        <v>111</v>
      </c>
      <c r="AA46" s="1536">
        <f t="shared" si="15"/>
        <v>1</v>
      </c>
      <c r="AB46" s="1536">
        <f t="shared" si="16"/>
        <v>1</v>
      </c>
      <c r="AC46" s="1536">
        <f t="shared" si="17"/>
        <v>1</v>
      </c>
    </row>
    <row r="47" spans="1:29" ht="15">
      <c r="A47" s="438" t="s">
        <v>2398</v>
      </c>
      <c r="B47" s="439"/>
      <c r="C47" s="1316" t="s">
        <v>19</v>
      </c>
      <c r="D47" s="1317"/>
      <c r="E47" s="1318"/>
      <c r="F47" s="1319"/>
      <c r="G47" s="1320"/>
      <c r="H47" s="1321"/>
      <c r="I47" s="1318"/>
      <c r="J47" s="1321"/>
      <c r="K47" s="2099"/>
      <c r="L47" s="2949"/>
      <c r="M47" s="2950"/>
      <c r="N47" s="2941"/>
      <c r="O47" s="2950"/>
      <c r="P47" s="3299" t="str">
        <f>A47</f>
        <v>成交单价（元/平方米）</v>
      </c>
      <c r="Q47" s="3299"/>
      <c r="R47" s="3390">
        <f>E47</f>
        <v>0</v>
      </c>
      <c r="S47" s="3390"/>
      <c r="T47" s="3390">
        <f>G47</f>
        <v>0</v>
      </c>
      <c r="U47" s="3390"/>
      <c r="V47" s="3390">
        <f>I47</f>
        <v>0</v>
      </c>
      <c r="W47" s="3390"/>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49"/>
      <c r="M48" s="2950"/>
      <c r="N48" s="2950"/>
      <c r="O48" s="2950"/>
      <c r="P48" s="3299" t="str">
        <f>A48</f>
        <v>比较价值（元/平方米）</v>
      </c>
      <c r="Q48" s="329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49"/>
      <c r="M49" s="2950"/>
      <c r="N49" s="2950"/>
      <c r="O49" s="2950"/>
      <c r="P49" s="3293" t="str">
        <f>A49</f>
        <v>估价对象XX用房的比较价值（楼面单价，元/平方米）</v>
      </c>
      <c r="Q49" s="329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2"/>
    </row>
    <row r="55" spans="1:29" s="459" customFormat="1">
      <c r="A55" s="2953"/>
      <c r="B55" s="2956"/>
      <c r="C55" s="2957"/>
      <c r="D55" s="2953"/>
      <c r="E55" s="2953"/>
      <c r="F55" s="2953"/>
      <c r="G55" s="2953"/>
      <c r="H55" s="2953"/>
      <c r="I55" s="2953"/>
      <c r="J55" s="2953"/>
      <c r="K55" s="2958"/>
      <c r="L55" s="2952"/>
      <c r="M55" s="2953"/>
      <c r="N55" s="2953"/>
      <c r="O55" s="2953"/>
      <c r="P55" s="2102"/>
    </row>
    <row r="56" spans="1:29">
      <c r="A56" s="2950"/>
      <c r="B56" s="2956"/>
      <c r="C56" s="2957"/>
      <c r="D56" s="2950"/>
      <c r="E56" s="2950"/>
      <c r="F56" s="2950"/>
      <c r="G56" s="2950"/>
      <c r="H56" s="2950"/>
      <c r="I56" s="2950"/>
      <c r="J56" s="2950"/>
      <c r="K56" s="2955"/>
      <c r="L56" s="2951"/>
      <c r="M56" s="2950"/>
      <c r="N56" s="2950"/>
      <c r="O56" s="2950"/>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59"/>
      <c r="M2" s="2960"/>
      <c r="N2" s="2960"/>
      <c r="O2" s="2960"/>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39707.960000000006</v>
      </c>
      <c r="E3" s="2139"/>
      <c r="F3" s="1040"/>
      <c r="G3" s="1039"/>
      <c r="H3" s="1039"/>
      <c r="I3" s="1039"/>
      <c r="J3" s="1039"/>
      <c r="K3" s="1041"/>
      <c r="L3" s="2959"/>
      <c r="M3" s="2960"/>
      <c r="N3" s="2960"/>
      <c r="O3" s="2960"/>
      <c r="P3" s="2137"/>
      <c r="Q3" s="1043"/>
      <c r="R3" s="1043"/>
      <c r="S3" s="1043"/>
      <c r="T3" s="1043"/>
      <c r="U3" s="1043"/>
      <c r="V3" s="1043"/>
      <c r="W3" s="1043"/>
      <c r="X3" s="1043"/>
      <c r="Y3" s="1043"/>
      <c r="Z3" s="1043"/>
      <c r="AA3" s="1043"/>
      <c r="AB3" s="1043"/>
      <c r="AC3" s="2139"/>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5"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5"/>
      <c r="AC5" s="3307"/>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5"/>
      <c r="AC6" s="3308"/>
    </row>
    <row r="7" spans="1:29" s="113" customFormat="1" ht="15.75" thickBot="1">
      <c r="A7" s="368" t="s">
        <v>2369</v>
      </c>
      <c r="B7" s="369"/>
      <c r="C7" s="370">
        <f>'数据-取费表'!B2</f>
        <v>44515</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28"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298"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298"/>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298"/>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298"/>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298"/>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298"/>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95" t="s">
        <v>2381</v>
      </c>
      <c r="Q15" s="1535" t="str">
        <f t="shared" si="6"/>
        <v>商业繁华度</v>
      </c>
      <c r="R15" s="714" t="s">
        <v>17</v>
      </c>
      <c r="S15" s="715">
        <f t="shared" si="0"/>
        <v>100</v>
      </c>
      <c r="T15" s="714" t="s">
        <v>17</v>
      </c>
      <c r="U15" s="715">
        <f t="shared" si="1"/>
        <v>100</v>
      </c>
      <c r="V15" s="714" t="s">
        <v>17</v>
      </c>
      <c r="W15" s="715">
        <f t="shared" si="2"/>
        <v>100</v>
      </c>
      <c r="X15" s="1538"/>
      <c r="Y15" s="3301"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7"/>
      <c r="M16" s="2941"/>
      <c r="N16" s="2941"/>
      <c r="O16" s="2941"/>
      <c r="P16" s="3396"/>
      <c r="Q16" s="1535"/>
      <c r="R16" s="714"/>
      <c r="S16" s="715"/>
      <c r="T16" s="714"/>
      <c r="U16" s="715"/>
      <c r="V16" s="714"/>
      <c r="W16" s="715"/>
      <c r="X16" s="1538"/>
      <c r="Y16" s="3302"/>
      <c r="Z16" s="1539"/>
      <c r="AA16" s="1536">
        <v>1</v>
      </c>
      <c r="AB16" s="1536">
        <v>1</v>
      </c>
      <c r="AC16" s="1536">
        <v>1</v>
      </c>
    </row>
    <row r="17" spans="1:29" ht="15">
      <c r="A17" s="387"/>
      <c r="B17" s="410" t="s">
        <v>1945</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96"/>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47"/>
      <c r="M18" s="2941"/>
      <c r="N18" s="2941"/>
      <c r="O18" s="2941"/>
      <c r="P18" s="3396"/>
      <c r="Q18" s="1535"/>
      <c r="R18" s="714"/>
      <c r="S18" s="715"/>
      <c r="T18" s="714"/>
      <c r="U18" s="715"/>
      <c r="V18" s="714"/>
      <c r="W18" s="715"/>
      <c r="X18" s="1538"/>
      <c r="Y18" s="3302"/>
      <c r="Z18" s="1539"/>
      <c r="AA18" s="1536">
        <v>1</v>
      </c>
      <c r="AB18" s="1536">
        <v>1</v>
      </c>
      <c r="AC18" s="1536">
        <v>1</v>
      </c>
    </row>
    <row r="19" spans="1:29" ht="15">
      <c r="A19" s="387"/>
      <c r="B19" s="410" t="s">
        <v>2475</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96"/>
      <c r="Q19" s="1535" t="str">
        <f>B19</f>
        <v>公共配套设施</v>
      </c>
      <c r="R19" s="714" t="s">
        <v>17</v>
      </c>
      <c r="S19" s="715">
        <f>F19</f>
        <v>100</v>
      </c>
      <c r="T19" s="714" t="s">
        <v>17</v>
      </c>
      <c r="U19" s="715">
        <f>H19</f>
        <v>100</v>
      </c>
      <c r="V19" s="714" t="s">
        <v>17</v>
      </c>
      <c r="W19" s="715">
        <f>J19</f>
        <v>100</v>
      </c>
      <c r="X19" s="1538"/>
      <c r="Y19" s="330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47"/>
      <c r="M20" s="2941"/>
      <c r="N20" s="2941"/>
      <c r="O20" s="2941"/>
      <c r="P20" s="3396"/>
      <c r="Q20" s="1535"/>
      <c r="R20" s="714"/>
      <c r="S20" s="715"/>
      <c r="T20" s="714"/>
      <c r="U20" s="715"/>
      <c r="V20" s="714"/>
      <c r="W20" s="715"/>
      <c r="X20" s="1538"/>
      <c r="Y20" s="3302"/>
      <c r="Z20" s="1539"/>
      <c r="AA20" s="1536">
        <v>1</v>
      </c>
      <c r="AB20" s="1536">
        <v>1</v>
      </c>
      <c r="AC20" s="1536">
        <v>1</v>
      </c>
    </row>
    <row r="21" spans="1:29" ht="15">
      <c r="A21" s="387"/>
      <c r="B21" s="1293" t="s">
        <v>2476</v>
      </c>
      <c r="C21" s="208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96"/>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47"/>
      <c r="M22" s="2941"/>
      <c r="N22" s="2941"/>
      <c r="O22" s="2941"/>
      <c r="P22" s="3396"/>
      <c r="Q22" s="1535"/>
      <c r="R22" s="714"/>
      <c r="S22" s="715"/>
      <c r="T22" s="714"/>
      <c r="U22" s="715"/>
      <c r="V22" s="714"/>
      <c r="W22" s="715"/>
      <c r="X22" s="1538"/>
      <c r="Y22" s="3302"/>
      <c r="Z22" s="1539"/>
      <c r="AA22" s="1536">
        <v>1</v>
      </c>
      <c r="AB22" s="1536">
        <v>1</v>
      </c>
      <c r="AC22" s="1536">
        <v>1</v>
      </c>
    </row>
    <row r="23" spans="1:29" ht="15">
      <c r="A23" s="387"/>
      <c r="B23" s="410" t="s">
        <v>1947</v>
      </c>
      <c r="C23" s="2140"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96"/>
      <c r="Q23" s="1535" t="str">
        <f>B23</f>
        <v>自然及人文环境</v>
      </c>
      <c r="R23" s="714" t="s">
        <v>17</v>
      </c>
      <c r="S23" s="715">
        <f>F23</f>
        <v>100</v>
      </c>
      <c r="T23" s="714" t="s">
        <v>17</v>
      </c>
      <c r="U23" s="715">
        <f>H23</f>
        <v>100</v>
      </c>
      <c r="V23" s="714" t="s">
        <v>17</v>
      </c>
      <c r="W23" s="715">
        <f>J23</f>
        <v>100</v>
      </c>
      <c r="X23" s="1538"/>
      <c r="Y23" s="3302"/>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47"/>
      <c r="M24" s="2941"/>
      <c r="N24" s="2941"/>
      <c r="O24" s="2941"/>
      <c r="P24" s="3396"/>
      <c r="Q24" s="1535"/>
      <c r="R24" s="714"/>
      <c r="S24" s="715"/>
      <c r="T24" s="714"/>
      <c r="U24" s="715"/>
      <c r="V24" s="714"/>
      <c r="W24" s="715"/>
      <c r="X24" s="1538"/>
      <c r="Y24" s="3302"/>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96"/>
      <c r="Q25" s="1535" t="str">
        <f t="shared" ref="Q25:Q46" si="11">B25</f>
        <v>临街状况</v>
      </c>
      <c r="R25" s="714" t="s">
        <v>17</v>
      </c>
      <c r="S25" s="715">
        <f>F25</f>
        <v>100</v>
      </c>
      <c r="T25" s="714" t="s">
        <v>17</v>
      </c>
      <c r="U25" s="715">
        <f>H25</f>
        <v>100</v>
      </c>
      <c r="V25" s="714" t="s">
        <v>17</v>
      </c>
      <c r="W25" s="715">
        <f>J25</f>
        <v>100</v>
      </c>
      <c r="X25" s="1538"/>
      <c r="Y25" s="3302"/>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96"/>
      <c r="Q26" s="1535" t="str">
        <f t="shared" si="11"/>
        <v>平面位置/可视性</v>
      </c>
      <c r="R26" s="714" t="s">
        <v>17</v>
      </c>
      <c r="S26" s="715">
        <f>F26</f>
        <v>100</v>
      </c>
      <c r="T26" s="714" t="s">
        <v>17</v>
      </c>
      <c r="U26" s="715">
        <f>H26</f>
        <v>100</v>
      </c>
      <c r="V26" s="714" t="s">
        <v>17</v>
      </c>
      <c r="W26" s="715">
        <f>J26</f>
        <v>100</v>
      </c>
      <c r="X26" s="1538"/>
      <c r="Y26" s="3302"/>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2"/>
      <c r="M27" s="2943"/>
      <c r="N27" s="2943"/>
      <c r="O27" s="2943"/>
      <c r="P27" s="3396"/>
      <c r="Q27" s="1526" t="str">
        <f t="shared" si="11"/>
        <v>人流量</v>
      </c>
      <c r="R27" s="710" t="s">
        <v>17</v>
      </c>
      <c r="S27" s="711">
        <f>F27</f>
        <v>100</v>
      </c>
      <c r="T27" s="710" t="s">
        <v>17</v>
      </c>
      <c r="U27" s="711">
        <f>H27</f>
        <v>100</v>
      </c>
      <c r="V27" s="710" t="s">
        <v>17</v>
      </c>
      <c r="W27" s="711">
        <f>J27</f>
        <v>100</v>
      </c>
      <c r="X27" s="712"/>
      <c r="Y27" s="3302"/>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96"/>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02"/>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96"/>
      <c r="Q29" s="1535">
        <f t="shared" si="11"/>
        <v>111</v>
      </c>
      <c r="R29" s="714" t="s">
        <v>17</v>
      </c>
      <c r="S29" s="715">
        <f t="shared" si="12"/>
        <v>100</v>
      </c>
      <c r="T29" s="714" t="s">
        <v>17</v>
      </c>
      <c r="U29" s="715">
        <f t="shared" si="13"/>
        <v>100</v>
      </c>
      <c r="V29" s="714" t="s">
        <v>17</v>
      </c>
      <c r="W29" s="715">
        <f t="shared" si="14"/>
        <v>100</v>
      </c>
      <c r="X29" s="1538"/>
      <c r="Y29" s="3302"/>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96"/>
      <c r="Q30" s="1535">
        <f t="shared" si="11"/>
        <v>111</v>
      </c>
      <c r="R30" s="714" t="s">
        <v>17</v>
      </c>
      <c r="S30" s="715">
        <f t="shared" si="12"/>
        <v>100</v>
      </c>
      <c r="T30" s="714" t="s">
        <v>17</v>
      </c>
      <c r="U30" s="715">
        <f t="shared" si="13"/>
        <v>100</v>
      </c>
      <c r="V30" s="714" t="s">
        <v>17</v>
      </c>
      <c r="W30" s="715">
        <f t="shared" si="14"/>
        <v>100</v>
      </c>
      <c r="X30" s="1538"/>
      <c r="Y30" s="3302"/>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96"/>
      <c r="Q31" s="1535">
        <f t="shared" si="11"/>
        <v>111</v>
      </c>
      <c r="R31" s="714" t="s">
        <v>17</v>
      </c>
      <c r="S31" s="715">
        <f t="shared" si="12"/>
        <v>100</v>
      </c>
      <c r="T31" s="714" t="s">
        <v>17</v>
      </c>
      <c r="U31" s="715">
        <f t="shared" si="13"/>
        <v>100</v>
      </c>
      <c r="V31" s="714" t="s">
        <v>17</v>
      </c>
      <c r="W31" s="715">
        <f t="shared" si="14"/>
        <v>100</v>
      </c>
      <c r="X31" s="1538"/>
      <c r="Y31" s="3302"/>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7"/>
      <c r="M32" s="2941"/>
      <c r="N32" s="2941"/>
      <c r="O32" s="2941"/>
      <c r="P32" s="3391" t="s">
        <v>2386</v>
      </c>
      <c r="Q32" s="1535" t="str">
        <f t="shared" si="11"/>
        <v>商业类型</v>
      </c>
      <c r="R32" s="714" t="s">
        <v>17</v>
      </c>
      <c r="S32" s="715">
        <f t="shared" si="12"/>
        <v>100</v>
      </c>
      <c r="T32" s="714" t="s">
        <v>17</v>
      </c>
      <c r="U32" s="715">
        <f t="shared" si="13"/>
        <v>100</v>
      </c>
      <c r="V32" s="714" t="s">
        <v>17</v>
      </c>
      <c r="W32" s="715">
        <f t="shared" si="14"/>
        <v>100</v>
      </c>
      <c r="X32" s="1538"/>
      <c r="Y32" s="3304"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92"/>
      <c r="Q33" s="716" t="str">
        <f t="shared" si="11"/>
        <v>项目建筑规模</v>
      </c>
      <c r="R33" s="717" t="s">
        <v>17</v>
      </c>
      <c r="S33" s="718" t="e">
        <f t="shared" si="12"/>
        <v>#N/A</v>
      </c>
      <c r="T33" s="717" t="s">
        <v>17</v>
      </c>
      <c r="U33" s="718" t="e">
        <f t="shared" si="13"/>
        <v>#N/A</v>
      </c>
      <c r="V33" s="717" t="s">
        <v>17</v>
      </c>
      <c r="W33" s="718" t="e">
        <f t="shared" si="14"/>
        <v>#N/A</v>
      </c>
      <c r="X33" s="719"/>
      <c r="Y33" s="3304"/>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7"/>
      <c r="M34" s="2941"/>
      <c r="N34" s="2941"/>
      <c r="O34" s="2941"/>
      <c r="P34" s="3392"/>
      <c r="Q34" s="1535" t="str">
        <f t="shared" si="11"/>
        <v>建筑结构</v>
      </c>
      <c r="R34" s="714" t="s">
        <v>17</v>
      </c>
      <c r="S34" s="715">
        <f t="shared" si="12"/>
        <v>100</v>
      </c>
      <c r="T34" s="714" t="s">
        <v>17</v>
      </c>
      <c r="U34" s="715">
        <f t="shared" si="13"/>
        <v>100</v>
      </c>
      <c r="V34" s="714" t="s">
        <v>17</v>
      </c>
      <c r="W34" s="715">
        <f t="shared" si="14"/>
        <v>100</v>
      </c>
      <c r="X34" s="1538"/>
      <c r="Y34" s="3304"/>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7"/>
      <c r="M35" s="2941"/>
      <c r="N35" s="2941"/>
      <c r="O35" s="2941"/>
      <c r="P35" s="3392"/>
      <c r="Q35" s="1535" t="str">
        <f t="shared" si="11"/>
        <v>公共部分装修</v>
      </c>
      <c r="R35" s="714" t="s">
        <v>17</v>
      </c>
      <c r="S35" s="715">
        <f t="shared" si="12"/>
        <v>100</v>
      </c>
      <c r="T35" s="714" t="s">
        <v>17</v>
      </c>
      <c r="U35" s="715">
        <f t="shared" si="13"/>
        <v>100</v>
      </c>
      <c r="V35" s="714" t="s">
        <v>17</v>
      </c>
      <c r="W35" s="715">
        <f t="shared" si="14"/>
        <v>100</v>
      </c>
      <c r="X35" s="1538"/>
      <c r="Y35" s="3304"/>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92"/>
      <c r="Q36" s="1535" t="str">
        <f t="shared" si="11"/>
        <v>成新度</v>
      </c>
      <c r="R36" s="714" t="s">
        <v>17</v>
      </c>
      <c r="S36" s="715" t="e">
        <f t="shared" si="12"/>
        <v>#N/A</v>
      </c>
      <c r="T36" s="714" t="s">
        <v>17</v>
      </c>
      <c r="U36" s="715" t="e">
        <f t="shared" si="13"/>
        <v>#N/A</v>
      </c>
      <c r="V36" s="714" t="s">
        <v>17</v>
      </c>
      <c r="W36" s="715" t="e">
        <f t="shared" si="14"/>
        <v>#N/A</v>
      </c>
      <c r="X36" s="1538"/>
      <c r="Y36" s="3304"/>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2"/>
      <c r="M37" s="2943"/>
      <c r="N37" s="2943"/>
      <c r="O37" s="2943"/>
      <c r="P37" s="3392"/>
      <c r="Q37" s="1526" t="str">
        <f t="shared" si="11"/>
        <v>市政基础设施</v>
      </c>
      <c r="R37" s="710" t="s">
        <v>17</v>
      </c>
      <c r="S37" s="711">
        <f t="shared" si="12"/>
        <v>100</v>
      </c>
      <c r="T37" s="710" t="s">
        <v>17</v>
      </c>
      <c r="U37" s="711">
        <f t="shared" si="13"/>
        <v>100</v>
      </c>
      <c r="V37" s="710" t="s">
        <v>17</v>
      </c>
      <c r="W37" s="711">
        <f t="shared" si="14"/>
        <v>100</v>
      </c>
      <c r="X37" s="712"/>
      <c r="Y37" s="3304"/>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7"/>
      <c r="M38" s="2941"/>
      <c r="N38" s="2941"/>
      <c r="O38" s="2941"/>
      <c r="P38" s="3392" t="s">
        <v>2386</v>
      </c>
      <c r="Q38" s="1535" t="str">
        <f t="shared" si="11"/>
        <v>业态</v>
      </c>
      <c r="R38" s="714" t="s">
        <v>17</v>
      </c>
      <c r="S38" s="715">
        <f t="shared" si="12"/>
        <v>100</v>
      </c>
      <c r="T38" s="714" t="s">
        <v>17</v>
      </c>
      <c r="U38" s="715">
        <f t="shared" si="13"/>
        <v>100</v>
      </c>
      <c r="V38" s="714" t="s">
        <v>17</v>
      </c>
      <c r="W38" s="715">
        <f t="shared" si="14"/>
        <v>100</v>
      </c>
      <c r="X38" s="1538"/>
      <c r="Y38" s="3304"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7"/>
      <c r="M39" s="2941"/>
      <c r="N39" s="2941"/>
      <c r="O39" s="2941"/>
      <c r="P39" s="3392"/>
      <c r="Q39" s="1535" t="str">
        <f t="shared" si="11"/>
        <v>层高</v>
      </c>
      <c r="R39" s="714" t="s">
        <v>17</v>
      </c>
      <c r="S39" s="715">
        <f t="shared" si="12"/>
        <v>100</v>
      </c>
      <c r="T39" s="714" t="s">
        <v>17</v>
      </c>
      <c r="U39" s="715">
        <f t="shared" si="13"/>
        <v>100</v>
      </c>
      <c r="V39" s="714" t="s">
        <v>17</v>
      </c>
      <c r="W39" s="715">
        <f t="shared" si="14"/>
        <v>100</v>
      </c>
      <c r="X39" s="1538"/>
      <c r="Y39" s="3304"/>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92"/>
      <c r="Q40" s="1535" t="str">
        <f t="shared" si="11"/>
        <v>单套建筑面积</v>
      </c>
      <c r="R40" s="714" t="s">
        <v>17</v>
      </c>
      <c r="S40" s="715">
        <f t="shared" si="12"/>
        <v>100</v>
      </c>
      <c r="T40" s="714" t="s">
        <v>17</v>
      </c>
      <c r="U40" s="715">
        <f t="shared" si="13"/>
        <v>100</v>
      </c>
      <c r="V40" s="714" t="s">
        <v>17</v>
      </c>
      <c r="W40" s="715">
        <f t="shared" si="14"/>
        <v>100</v>
      </c>
      <c r="X40" s="1538"/>
      <c r="Y40" s="3304"/>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92"/>
      <c r="Q41" s="716" t="str">
        <f t="shared" si="11"/>
        <v>进深比</v>
      </c>
      <c r="R41" s="717" t="s">
        <v>17</v>
      </c>
      <c r="S41" s="718">
        <f t="shared" si="12"/>
        <v>100</v>
      </c>
      <c r="T41" s="717" t="s">
        <v>17</v>
      </c>
      <c r="U41" s="718">
        <f t="shared" si="13"/>
        <v>100</v>
      </c>
      <c r="V41" s="717" t="s">
        <v>17</v>
      </c>
      <c r="W41" s="718">
        <f t="shared" si="14"/>
        <v>100</v>
      </c>
      <c r="X41" s="719"/>
      <c r="Y41" s="3304"/>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7"/>
      <c r="M42" s="2941"/>
      <c r="N42" s="2941"/>
      <c r="O42" s="2941"/>
      <c r="P42" s="3392"/>
      <c r="Q42" s="1535" t="str">
        <f t="shared" si="11"/>
        <v>内部装修</v>
      </c>
      <c r="R42" s="714" t="s">
        <v>17</v>
      </c>
      <c r="S42" s="715">
        <f t="shared" si="12"/>
        <v>100</v>
      </c>
      <c r="T42" s="714" t="s">
        <v>17</v>
      </c>
      <c r="U42" s="715">
        <f t="shared" si="13"/>
        <v>100</v>
      </c>
      <c r="V42" s="714" t="s">
        <v>17</v>
      </c>
      <c r="W42" s="715">
        <f t="shared" si="14"/>
        <v>100</v>
      </c>
      <c r="X42" s="1538"/>
      <c r="Y42" s="3304"/>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7"/>
      <c r="M43" s="2941"/>
      <c r="N43" s="2941"/>
      <c r="O43" s="2941"/>
      <c r="P43" s="3392"/>
      <c r="Q43" s="1535" t="str">
        <f t="shared" si="11"/>
        <v>内部装修维护情况</v>
      </c>
      <c r="R43" s="714" t="s">
        <v>17</v>
      </c>
      <c r="S43" s="715">
        <f t="shared" si="12"/>
        <v>100</v>
      </c>
      <c r="T43" s="714" t="s">
        <v>17</v>
      </c>
      <c r="U43" s="715">
        <f t="shared" si="13"/>
        <v>100</v>
      </c>
      <c r="V43" s="714" t="s">
        <v>17</v>
      </c>
      <c r="W43" s="715">
        <f t="shared" si="14"/>
        <v>100</v>
      </c>
      <c r="X43" s="1538"/>
      <c r="Y43" s="3304"/>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92"/>
      <c r="Q44" s="1526">
        <f t="shared" si="11"/>
        <v>111</v>
      </c>
      <c r="R44" s="710" t="s">
        <v>17</v>
      </c>
      <c r="S44" s="711">
        <f t="shared" si="12"/>
        <v>100</v>
      </c>
      <c r="T44" s="710" t="s">
        <v>17</v>
      </c>
      <c r="U44" s="711">
        <f t="shared" si="13"/>
        <v>100</v>
      </c>
      <c r="V44" s="710" t="s">
        <v>17</v>
      </c>
      <c r="W44" s="711">
        <f t="shared" si="14"/>
        <v>100</v>
      </c>
      <c r="X44" s="712"/>
      <c r="Y44" s="330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92"/>
      <c r="Q45" s="1535">
        <f t="shared" si="11"/>
        <v>111</v>
      </c>
      <c r="R45" s="714" t="s">
        <v>17</v>
      </c>
      <c r="S45" s="715">
        <f t="shared" si="12"/>
        <v>100</v>
      </c>
      <c r="T45" s="714" t="s">
        <v>17</v>
      </c>
      <c r="U45" s="715">
        <f t="shared" si="13"/>
        <v>100</v>
      </c>
      <c r="V45" s="714" t="s">
        <v>17</v>
      </c>
      <c r="W45" s="715">
        <f t="shared" si="14"/>
        <v>100</v>
      </c>
      <c r="X45" s="1538"/>
      <c r="Y45" s="3304"/>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93"/>
      <c r="Q46" s="1535">
        <f t="shared" si="11"/>
        <v>111</v>
      </c>
      <c r="R46" s="714" t="s">
        <v>17</v>
      </c>
      <c r="S46" s="715">
        <f t="shared" si="12"/>
        <v>100</v>
      </c>
      <c r="T46" s="714" t="s">
        <v>17</v>
      </c>
      <c r="U46" s="715">
        <f t="shared" si="13"/>
        <v>100</v>
      </c>
      <c r="V46" s="714" t="s">
        <v>17</v>
      </c>
      <c r="W46" s="715">
        <f t="shared" si="14"/>
        <v>100</v>
      </c>
      <c r="X46" s="1538"/>
      <c r="Y46" s="3394"/>
      <c r="Z46" s="1539">
        <f t="shared" si="15"/>
        <v>111</v>
      </c>
      <c r="AA46" s="1536">
        <f t="shared" si="3"/>
        <v>1</v>
      </c>
      <c r="AB46" s="1536">
        <f t="shared" si="4"/>
        <v>1</v>
      </c>
      <c r="AC46" s="1536">
        <f t="shared" si="5"/>
        <v>1</v>
      </c>
    </row>
    <row r="47" spans="1:29" ht="15">
      <c r="A47" s="438" t="s">
        <v>2398</v>
      </c>
      <c r="B47" s="439"/>
      <c r="C47" s="1316" t="s">
        <v>1</v>
      </c>
      <c r="D47" s="1317"/>
      <c r="E47" s="1318"/>
      <c r="F47" s="1319"/>
      <c r="G47" s="1320"/>
      <c r="H47" s="1321"/>
      <c r="I47" s="1318"/>
      <c r="J47" s="1321"/>
      <c r="K47" s="723"/>
      <c r="L47" s="2949"/>
      <c r="M47" s="2950"/>
      <c r="N47" s="2941"/>
      <c r="O47" s="2950"/>
      <c r="P47" s="3299" t="str">
        <f>A47</f>
        <v>成交单价（元/平方米）</v>
      </c>
      <c r="Q47" s="3299"/>
      <c r="R47" s="3305">
        <f>E47</f>
        <v>0</v>
      </c>
      <c r="S47" s="3305"/>
      <c r="T47" s="3305">
        <f>G47</f>
        <v>0</v>
      </c>
      <c r="U47" s="3305"/>
      <c r="V47" s="3305">
        <f>I47</f>
        <v>0</v>
      </c>
      <c r="W47" s="3305"/>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49"/>
      <c r="M48" s="2950"/>
      <c r="N48" s="2941"/>
      <c r="O48" s="2950"/>
      <c r="P48" s="3299" t="str">
        <f>A48</f>
        <v>比较价值（元/平方米）</v>
      </c>
      <c r="Q48" s="329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9"/>
      <c r="M49" s="2950"/>
      <c r="N49" s="2941"/>
      <c r="O49" s="2950"/>
      <c r="P49" s="3293" t="str">
        <f>A49</f>
        <v>估价对象XX用房的比较价值（楼面单价，元/平方米）</v>
      </c>
      <c r="Q49" s="329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2495</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4"/>
      <c r="R59" s="2884"/>
      <c r="S59" s="2884"/>
      <c r="T59" s="2884"/>
      <c r="U59" s="2884"/>
      <c r="V59" s="2884"/>
      <c r="W59" s="2884"/>
      <c r="X59" s="2884"/>
      <c r="Y59" s="2884"/>
      <c r="Z59" s="2884"/>
      <c r="AA59" s="2884"/>
      <c r="AB59" s="2884"/>
      <c r="AC59" s="2884"/>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4"/>
      <c r="S60" s="2884"/>
      <c r="T60" s="2884"/>
      <c r="U60" s="2884"/>
      <c r="V60" s="2884"/>
      <c r="W60" s="2884"/>
      <c r="X60" s="2884"/>
      <c r="Y60" s="2884"/>
      <c r="Z60" s="2884"/>
      <c r="AA60" s="2884"/>
      <c r="AB60" s="2884"/>
      <c r="AC60" s="2884"/>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4"/>
      <c r="S62" s="2884"/>
      <c r="T62" s="2884"/>
      <c r="U62" s="2884"/>
      <c r="V62" s="2884"/>
      <c r="W62" s="2884"/>
      <c r="X62" s="2884"/>
      <c r="Y62" s="2884"/>
      <c r="Z62" s="2884"/>
      <c r="AA62" s="2884"/>
      <c r="AB62" s="2884"/>
      <c r="AC62" s="2884"/>
    </row>
    <row r="63" spans="1:29">
      <c r="A63" s="484" t="s">
        <v>2409</v>
      </c>
      <c r="B63" s="485" t="s">
        <v>2375</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6" t="s">
        <v>2496</v>
      </c>
      <c r="D82" s="616" t="s">
        <v>2497</v>
      </c>
      <c r="E82" s="616" t="s">
        <v>2498</v>
      </c>
      <c r="F82" s="616" t="s">
        <v>2499</v>
      </c>
      <c r="G82" s="616" t="s">
        <v>2500</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12"/>
      <c r="G88" s="511"/>
      <c r="H88" s="511"/>
      <c r="I88" s="511"/>
      <c r="J88" s="511"/>
      <c r="K88" s="511"/>
      <c r="L88" s="511"/>
      <c r="M88" s="538"/>
      <c r="N88" s="2977"/>
      <c r="O88" s="2977"/>
      <c r="P88" s="2969"/>
      <c r="Q88" s="2964"/>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9"/>
      <c r="O89" s="2979"/>
      <c r="P89" s="2969"/>
      <c r="Q89" s="2964"/>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3"/>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3"/>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39707.960000000006</v>
      </c>
      <c r="E3" s="2139"/>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403" t="s">
        <v>2472</v>
      </c>
      <c r="Q4" s="3404"/>
      <c r="R4" s="3407" t="s">
        <v>2468</v>
      </c>
      <c r="S4" s="3408"/>
      <c r="T4" s="3407" t="s">
        <v>2469</v>
      </c>
      <c r="U4" s="3408"/>
      <c r="V4" s="3409" t="s">
        <v>2470</v>
      </c>
      <c r="W4" s="3409"/>
      <c r="X4" s="2143"/>
      <c r="Y4" s="3407" t="s">
        <v>2472</v>
      </c>
      <c r="Z4" s="3408"/>
      <c r="AA4" s="3411" t="s">
        <v>2468</v>
      </c>
      <c r="AB4" s="3411" t="s">
        <v>2469</v>
      </c>
      <c r="AC4" s="3400" t="s">
        <v>2470</v>
      </c>
    </row>
    <row r="5" spans="1:29" ht="15">
      <c r="A5" s="364"/>
      <c r="B5" s="365"/>
      <c r="C5" s="3326" t="s">
        <v>2363</v>
      </c>
      <c r="D5" s="3327"/>
      <c r="E5" s="3333" t="s">
        <v>2364</v>
      </c>
      <c r="F5" s="3334"/>
      <c r="G5" s="3326" t="s">
        <v>2365</v>
      </c>
      <c r="H5" s="3327"/>
      <c r="I5" s="3326" t="s">
        <v>2366</v>
      </c>
      <c r="J5" s="3327"/>
      <c r="K5" s="567"/>
      <c r="L5" s="2940"/>
      <c r="M5" s="2941"/>
      <c r="N5" s="2941"/>
      <c r="O5" s="2941"/>
      <c r="P5" s="3405"/>
      <c r="Q5" s="3315"/>
      <c r="R5" s="3320"/>
      <c r="S5" s="3321"/>
      <c r="T5" s="3320"/>
      <c r="U5" s="3321"/>
      <c r="V5" s="3305"/>
      <c r="W5" s="3305"/>
      <c r="X5" s="1538"/>
      <c r="Y5" s="3320"/>
      <c r="Z5" s="3321"/>
      <c r="AA5" s="3307"/>
      <c r="AB5" s="3307"/>
      <c r="AC5" s="3401"/>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406"/>
      <c r="Q6" s="3317"/>
      <c r="R6" s="3320"/>
      <c r="S6" s="3321"/>
      <c r="T6" s="3322"/>
      <c r="U6" s="3323"/>
      <c r="V6" s="3305"/>
      <c r="W6" s="3305"/>
      <c r="X6" s="1538"/>
      <c r="Y6" s="3322"/>
      <c r="Z6" s="3323"/>
      <c r="AA6" s="3308"/>
      <c r="AB6" s="3308"/>
      <c r="AC6" s="3402"/>
    </row>
    <row r="7" spans="1:29" s="113" customFormat="1" ht="15.75" thickBot="1">
      <c r="A7" s="368" t="s">
        <v>2369</v>
      </c>
      <c r="B7" s="369"/>
      <c r="C7" s="370">
        <f>'数据-取费表'!B2</f>
        <v>44515</v>
      </c>
      <c r="D7" s="371">
        <v>100</v>
      </c>
      <c r="E7" s="372"/>
      <c r="F7" s="373">
        <f>SUMIF(59:59,YEAR(E7)&amp;"-"&amp;MONTH(E7),60:60)</f>
        <v>0</v>
      </c>
      <c r="G7" s="372"/>
      <c r="H7" s="371">
        <f>SUMIF(59:59,YEAR(G7)&amp;"-"&amp;MONTH(G7),60:60)</f>
        <v>0</v>
      </c>
      <c r="I7" s="372"/>
      <c r="J7" s="371">
        <f>SUMIF(59:59,YEAR(I7)&amp;"-"&amp;MONTH(I7),60:60)</f>
        <v>0</v>
      </c>
      <c r="K7" s="568"/>
      <c r="L7" s="2942"/>
      <c r="M7" s="2943"/>
      <c r="N7" s="2943"/>
      <c r="O7" s="2943"/>
      <c r="P7" s="3410"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410" t="s">
        <v>2373</v>
      </c>
      <c r="Q8" s="3329"/>
      <c r="R8" s="710" t="s">
        <v>17</v>
      </c>
      <c r="S8" s="711">
        <f t="shared" si="0"/>
        <v>0</v>
      </c>
      <c r="T8" s="710" t="s">
        <v>17</v>
      </c>
      <c r="U8" s="711">
        <f t="shared" si="1"/>
        <v>0</v>
      </c>
      <c r="V8" s="710" t="s">
        <v>17</v>
      </c>
      <c r="W8" s="711">
        <f t="shared" si="2"/>
        <v>0</v>
      </c>
      <c r="X8" s="712"/>
      <c r="Y8" s="3328" t="s">
        <v>2373</v>
      </c>
      <c r="Z8" s="3329"/>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298"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298"/>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298"/>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2"/>
      <c r="M12" s="2943"/>
      <c r="N12" s="2943"/>
      <c r="O12" s="2943"/>
      <c r="P12" s="3298"/>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47"/>
      <c r="M13" s="2941"/>
      <c r="N13" s="2941"/>
      <c r="O13" s="2941"/>
      <c r="P13" s="3298"/>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47"/>
      <c r="M14" s="2941"/>
      <c r="N14" s="2941"/>
      <c r="O14" s="2941"/>
      <c r="P14" s="3298"/>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2144">
        <f t="shared" si="5"/>
        <v>1</v>
      </c>
    </row>
    <row r="15" spans="1:29" ht="15">
      <c r="A15" s="399" t="s">
        <v>2380</v>
      </c>
      <c r="B15" s="585" t="s">
        <v>2508</v>
      </c>
      <c r="C15" s="2146"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95" t="s">
        <v>2381</v>
      </c>
      <c r="Q15" s="1535" t="str">
        <f t="shared" si="6"/>
        <v>办公集聚程度</v>
      </c>
      <c r="R15" s="714" t="s">
        <v>17</v>
      </c>
      <c r="S15" s="715">
        <f t="shared" si="0"/>
        <v>100</v>
      </c>
      <c r="T15" s="714" t="s">
        <v>17</v>
      </c>
      <c r="U15" s="715">
        <f t="shared" si="1"/>
        <v>100</v>
      </c>
      <c r="V15" s="714" t="s">
        <v>17</v>
      </c>
      <c r="W15" s="715">
        <f t="shared" si="2"/>
        <v>100</v>
      </c>
      <c r="X15" s="1538"/>
      <c r="Y15" s="3301"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47"/>
      <c r="M16" s="2941"/>
      <c r="N16" s="2941"/>
      <c r="O16" s="2941"/>
      <c r="P16" s="3396"/>
      <c r="Q16" s="1535"/>
      <c r="R16" s="714"/>
      <c r="S16" s="715"/>
      <c r="T16" s="714"/>
      <c r="U16" s="715"/>
      <c r="V16" s="714"/>
      <c r="W16" s="715"/>
      <c r="X16" s="1538"/>
      <c r="Y16" s="3302"/>
      <c r="Z16" s="1539"/>
      <c r="AA16" s="1536">
        <v>1</v>
      </c>
      <c r="AB16" s="1536">
        <v>1</v>
      </c>
      <c r="AC16" s="2147">
        <v>1</v>
      </c>
    </row>
    <row r="17" spans="1:29" ht="15">
      <c r="A17" s="387"/>
      <c r="B17" s="587" t="s">
        <v>1945</v>
      </c>
      <c r="C17" s="2148"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96"/>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47"/>
      <c r="M18" s="2941"/>
      <c r="N18" s="2941"/>
      <c r="O18" s="2941"/>
      <c r="P18" s="3396"/>
      <c r="Q18" s="1535"/>
      <c r="R18" s="714"/>
      <c r="S18" s="715"/>
      <c r="T18" s="714"/>
      <c r="U18" s="715"/>
      <c r="V18" s="714"/>
      <c r="W18" s="715"/>
      <c r="X18" s="1538"/>
      <c r="Y18" s="3302"/>
      <c r="Z18" s="1539"/>
      <c r="AA18" s="1536">
        <v>1</v>
      </c>
      <c r="AB18" s="1536">
        <v>1</v>
      </c>
      <c r="AC18" s="2147">
        <v>1</v>
      </c>
    </row>
    <row r="19" spans="1:29" ht="15">
      <c r="A19" s="387"/>
      <c r="B19" s="587" t="s">
        <v>2509</v>
      </c>
      <c r="C19" s="2148"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96"/>
      <c r="Q19" s="1535" t="str">
        <f>B19</f>
        <v>公共配套设施</v>
      </c>
      <c r="R19" s="714" t="s">
        <v>17</v>
      </c>
      <c r="S19" s="715">
        <f>F19</f>
        <v>100</v>
      </c>
      <c r="T19" s="714" t="s">
        <v>17</v>
      </c>
      <c r="U19" s="715">
        <f>H19</f>
        <v>100</v>
      </c>
      <c r="V19" s="714" t="s">
        <v>17</v>
      </c>
      <c r="W19" s="715">
        <f>J19</f>
        <v>100</v>
      </c>
      <c r="X19" s="1538"/>
      <c r="Y19" s="3302"/>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47"/>
      <c r="M20" s="2941"/>
      <c r="N20" s="2941"/>
      <c r="O20" s="2941"/>
      <c r="P20" s="3396"/>
      <c r="Q20" s="1535"/>
      <c r="R20" s="714"/>
      <c r="S20" s="715"/>
      <c r="T20" s="714"/>
      <c r="U20" s="715"/>
      <c r="V20" s="714"/>
      <c r="W20" s="715"/>
      <c r="X20" s="1538"/>
      <c r="Y20" s="3302"/>
      <c r="Z20" s="1539"/>
      <c r="AA20" s="1536">
        <v>1</v>
      </c>
      <c r="AB20" s="1536">
        <v>1</v>
      </c>
      <c r="AC20" s="2147">
        <v>1</v>
      </c>
    </row>
    <row r="21" spans="1:29" ht="15">
      <c r="A21" s="387"/>
      <c r="B21" s="589" t="s">
        <v>2510</v>
      </c>
      <c r="C21" s="214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96"/>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47"/>
      <c r="M22" s="2941"/>
      <c r="N22" s="2941"/>
      <c r="O22" s="2941"/>
      <c r="P22" s="3396"/>
      <c r="Q22" s="1535"/>
      <c r="R22" s="714"/>
      <c r="S22" s="715"/>
      <c r="T22" s="714"/>
      <c r="U22" s="715"/>
      <c r="V22" s="714"/>
      <c r="W22" s="715"/>
      <c r="X22" s="1538"/>
      <c r="Y22" s="3302"/>
      <c r="Z22" s="1539"/>
      <c r="AA22" s="1536">
        <v>1</v>
      </c>
      <c r="AB22" s="1536">
        <v>1</v>
      </c>
      <c r="AC22" s="2147">
        <v>1</v>
      </c>
    </row>
    <row r="23" spans="1:29" ht="15">
      <c r="A23" s="387"/>
      <c r="B23" s="587" t="s">
        <v>2511</v>
      </c>
      <c r="C23" s="2148"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96"/>
      <c r="Q23" s="1535" t="str">
        <f>B23</f>
        <v>环境质量</v>
      </c>
      <c r="R23" s="714" t="s">
        <v>17</v>
      </c>
      <c r="S23" s="715">
        <f>F23</f>
        <v>100</v>
      </c>
      <c r="T23" s="714" t="s">
        <v>17</v>
      </c>
      <c r="U23" s="715">
        <f>H23</f>
        <v>100</v>
      </c>
      <c r="V23" s="714" t="s">
        <v>17</v>
      </c>
      <c r="W23" s="715">
        <f>J23</f>
        <v>100</v>
      </c>
      <c r="X23" s="1538"/>
      <c r="Y23" s="3302"/>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47"/>
      <c r="M24" s="2941"/>
      <c r="N24" s="2941"/>
      <c r="O24" s="2941"/>
      <c r="P24" s="3396"/>
      <c r="Q24" s="1535"/>
      <c r="R24" s="714"/>
      <c r="S24" s="715"/>
      <c r="T24" s="714"/>
      <c r="U24" s="715"/>
      <c r="V24" s="714"/>
      <c r="W24" s="715"/>
      <c r="X24" s="1538"/>
      <c r="Y24" s="3302"/>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47"/>
      <c r="M25" s="2941"/>
      <c r="N25" s="2941"/>
      <c r="O25" s="2941"/>
      <c r="P25" s="3396"/>
      <c r="Q25" s="1535" t="str">
        <f>B25</f>
        <v>毗邻道路的类型与等级</v>
      </c>
      <c r="R25" s="714" t="s">
        <v>17</v>
      </c>
      <c r="S25" s="715">
        <f>F25</f>
        <v>100</v>
      </c>
      <c r="T25" s="714" t="s">
        <v>17</v>
      </c>
      <c r="U25" s="715">
        <f>H25</f>
        <v>100</v>
      </c>
      <c r="V25" s="714" t="s">
        <v>17</v>
      </c>
      <c r="W25" s="715">
        <f>J25</f>
        <v>100</v>
      </c>
      <c r="X25" s="1538"/>
      <c r="Y25" s="3302"/>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47"/>
      <c r="M26" s="2941"/>
      <c r="N26" s="2941"/>
      <c r="O26" s="2941"/>
      <c r="P26" s="3396"/>
      <c r="Q26" s="1535"/>
      <c r="R26" s="714"/>
      <c r="S26" s="715"/>
      <c r="T26" s="714"/>
      <c r="U26" s="715"/>
      <c r="V26" s="714"/>
      <c r="W26" s="715"/>
      <c r="X26" s="1538"/>
      <c r="Y26" s="3302"/>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96"/>
      <c r="Q27" s="1535" t="str">
        <f t="shared" ref="Q27:Q47" si="11">B27</f>
        <v>楼层</v>
      </c>
      <c r="R27" s="714" t="s">
        <v>17</v>
      </c>
      <c r="S27" s="715">
        <f>F27</f>
        <v>100</v>
      </c>
      <c r="T27" s="714" t="s">
        <v>17</v>
      </c>
      <c r="U27" s="715">
        <f>H27</f>
        <v>100</v>
      </c>
      <c r="V27" s="714" t="s">
        <v>17</v>
      </c>
      <c r="W27" s="715">
        <f>J27</f>
        <v>100</v>
      </c>
      <c r="X27" s="1538"/>
      <c r="Y27" s="3302"/>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2"/>
      <c r="M28" s="2943"/>
      <c r="N28" s="2943"/>
      <c r="O28" s="2943"/>
      <c r="P28" s="3396"/>
      <c r="Q28" s="1526" t="str">
        <f t="shared" si="11"/>
        <v>朝向</v>
      </c>
      <c r="R28" s="710" t="s">
        <v>17</v>
      </c>
      <c r="S28" s="711">
        <f>F28</f>
        <v>100</v>
      </c>
      <c r="T28" s="710" t="s">
        <v>17</v>
      </c>
      <c r="U28" s="711">
        <f>H28</f>
        <v>100</v>
      </c>
      <c r="V28" s="710" t="s">
        <v>17</v>
      </c>
      <c r="W28" s="711">
        <f>J28</f>
        <v>100</v>
      </c>
      <c r="X28" s="712"/>
      <c r="Y28" s="3302"/>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47"/>
      <c r="M29" s="2941"/>
      <c r="N29" s="2941"/>
      <c r="O29" s="2941"/>
      <c r="P29" s="3396"/>
      <c r="Q29" s="1535">
        <f t="shared" si="11"/>
        <v>111</v>
      </c>
      <c r="R29" s="714" t="s">
        <v>17</v>
      </c>
      <c r="S29" s="715">
        <f t="shared" ref="S29:S47" si="12">F29</f>
        <v>100</v>
      </c>
      <c r="T29" s="714" t="s">
        <v>17</v>
      </c>
      <c r="U29" s="715">
        <f t="shared" ref="U29:U47" si="13">H29</f>
        <v>100</v>
      </c>
      <c r="V29" s="714" t="s">
        <v>17</v>
      </c>
      <c r="W29" s="715">
        <f t="shared" ref="W29:W47" si="14">J29</f>
        <v>100</v>
      </c>
      <c r="X29" s="1538"/>
      <c r="Y29" s="3302"/>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47"/>
      <c r="M30" s="2941"/>
      <c r="N30" s="2941"/>
      <c r="O30" s="2941"/>
      <c r="P30" s="3396"/>
      <c r="Q30" s="1535">
        <f t="shared" si="11"/>
        <v>111</v>
      </c>
      <c r="R30" s="714" t="s">
        <v>17</v>
      </c>
      <c r="S30" s="715">
        <f t="shared" si="12"/>
        <v>100</v>
      </c>
      <c r="T30" s="714" t="s">
        <v>17</v>
      </c>
      <c r="U30" s="715">
        <f t="shared" si="13"/>
        <v>100</v>
      </c>
      <c r="V30" s="714" t="s">
        <v>17</v>
      </c>
      <c r="W30" s="715">
        <f t="shared" si="14"/>
        <v>100</v>
      </c>
      <c r="X30" s="1538"/>
      <c r="Y30" s="3302"/>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47"/>
      <c r="M31" s="2941"/>
      <c r="N31" s="2941"/>
      <c r="O31" s="2941"/>
      <c r="P31" s="3396"/>
      <c r="Q31" s="1535">
        <f t="shared" si="11"/>
        <v>111</v>
      </c>
      <c r="R31" s="714" t="s">
        <v>17</v>
      </c>
      <c r="S31" s="715">
        <f t="shared" si="12"/>
        <v>100</v>
      </c>
      <c r="T31" s="714" t="s">
        <v>17</v>
      </c>
      <c r="U31" s="715">
        <f t="shared" si="13"/>
        <v>100</v>
      </c>
      <c r="V31" s="714" t="s">
        <v>17</v>
      </c>
      <c r="W31" s="715">
        <f t="shared" si="14"/>
        <v>100</v>
      </c>
      <c r="X31" s="1538"/>
      <c r="Y31" s="3302"/>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47"/>
      <c r="M32" s="2941"/>
      <c r="N32" s="2941"/>
      <c r="O32" s="2941"/>
      <c r="P32" s="3396"/>
      <c r="Q32" s="1535">
        <f t="shared" si="11"/>
        <v>111</v>
      </c>
      <c r="R32" s="714" t="s">
        <v>17</v>
      </c>
      <c r="S32" s="715">
        <f t="shared" si="12"/>
        <v>100</v>
      </c>
      <c r="T32" s="714" t="s">
        <v>17</v>
      </c>
      <c r="U32" s="715">
        <f t="shared" si="13"/>
        <v>100</v>
      </c>
      <c r="V32" s="714" t="s">
        <v>17</v>
      </c>
      <c r="W32" s="715">
        <f t="shared" si="14"/>
        <v>100</v>
      </c>
      <c r="X32" s="1538"/>
      <c r="Y32" s="3302"/>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47"/>
      <c r="M33" s="2941"/>
      <c r="N33" s="2941"/>
      <c r="O33" s="2941"/>
      <c r="P33" s="3391" t="s">
        <v>2386</v>
      </c>
      <c r="Q33" s="1535" t="str">
        <f t="shared" si="11"/>
        <v>建筑类型</v>
      </c>
      <c r="R33" s="714" t="s">
        <v>17</v>
      </c>
      <c r="S33" s="715">
        <f t="shared" si="12"/>
        <v>100</v>
      </c>
      <c r="T33" s="714" t="s">
        <v>17</v>
      </c>
      <c r="U33" s="715">
        <f t="shared" si="13"/>
        <v>100</v>
      </c>
      <c r="V33" s="714" t="s">
        <v>17</v>
      </c>
      <c r="W33" s="715">
        <f t="shared" si="14"/>
        <v>100</v>
      </c>
      <c r="X33" s="1538"/>
      <c r="Y33" s="3304"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92"/>
      <c r="Q34" s="716" t="str">
        <f t="shared" si="11"/>
        <v>项目建筑规模</v>
      </c>
      <c r="R34" s="717" t="s">
        <v>17</v>
      </c>
      <c r="S34" s="718" t="e">
        <f t="shared" si="12"/>
        <v>#N/A</v>
      </c>
      <c r="T34" s="717" t="s">
        <v>17</v>
      </c>
      <c r="U34" s="718" t="e">
        <f t="shared" si="13"/>
        <v>#N/A</v>
      </c>
      <c r="V34" s="717" t="s">
        <v>17</v>
      </c>
      <c r="W34" s="718" t="e">
        <f t="shared" si="14"/>
        <v>#N/A</v>
      </c>
      <c r="X34" s="719"/>
      <c r="Y34" s="3304"/>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92"/>
      <c r="Q35" s="1535" t="str">
        <f t="shared" si="11"/>
        <v>建筑结构</v>
      </c>
      <c r="R35" s="714" t="s">
        <v>17</v>
      </c>
      <c r="S35" s="715">
        <f t="shared" si="12"/>
        <v>100</v>
      </c>
      <c r="T35" s="714" t="s">
        <v>17</v>
      </c>
      <c r="U35" s="715">
        <f t="shared" si="13"/>
        <v>100</v>
      </c>
      <c r="V35" s="714" t="s">
        <v>17</v>
      </c>
      <c r="W35" s="715">
        <f t="shared" si="14"/>
        <v>100</v>
      </c>
      <c r="X35" s="1538"/>
      <c r="Y35" s="3304"/>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92"/>
      <c r="Q36" s="1535" t="str">
        <f t="shared" si="11"/>
        <v>公共部分装修</v>
      </c>
      <c r="R36" s="714" t="s">
        <v>17</v>
      </c>
      <c r="S36" s="715">
        <f t="shared" si="12"/>
        <v>100</v>
      </c>
      <c r="T36" s="714" t="s">
        <v>17</v>
      </c>
      <c r="U36" s="715">
        <f t="shared" si="13"/>
        <v>100</v>
      </c>
      <c r="V36" s="714" t="s">
        <v>17</v>
      </c>
      <c r="W36" s="715">
        <f t="shared" si="14"/>
        <v>100</v>
      </c>
      <c r="X36" s="1538"/>
      <c r="Y36" s="3304"/>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92"/>
      <c r="Q37" s="1535" t="str">
        <f t="shared" si="11"/>
        <v>成新度</v>
      </c>
      <c r="R37" s="714" t="s">
        <v>17</v>
      </c>
      <c r="S37" s="715" t="e">
        <f t="shared" si="12"/>
        <v>#N/A</v>
      </c>
      <c r="T37" s="714" t="s">
        <v>17</v>
      </c>
      <c r="U37" s="715" t="e">
        <f t="shared" si="13"/>
        <v>#N/A</v>
      </c>
      <c r="V37" s="714" t="s">
        <v>17</v>
      </c>
      <c r="W37" s="715" t="e">
        <f t="shared" si="14"/>
        <v>#N/A</v>
      </c>
      <c r="X37" s="1538"/>
      <c r="Y37" s="3304"/>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92"/>
      <c r="Q38" s="1526" t="str">
        <f t="shared" si="11"/>
        <v>写字楼等级</v>
      </c>
      <c r="R38" s="710" t="s">
        <v>17</v>
      </c>
      <c r="S38" s="711">
        <f t="shared" si="12"/>
        <v>100</v>
      </c>
      <c r="T38" s="710" t="s">
        <v>17</v>
      </c>
      <c r="U38" s="711">
        <f t="shared" si="13"/>
        <v>100</v>
      </c>
      <c r="V38" s="710" t="s">
        <v>17</v>
      </c>
      <c r="W38" s="711">
        <f t="shared" si="14"/>
        <v>100</v>
      </c>
      <c r="X38" s="712"/>
      <c r="Y38" s="3304"/>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92" t="s">
        <v>2386</v>
      </c>
      <c r="Q39" s="1535" t="str">
        <f t="shared" si="11"/>
        <v>物业管理</v>
      </c>
      <c r="R39" s="714" t="s">
        <v>17</v>
      </c>
      <c r="S39" s="715">
        <f t="shared" si="12"/>
        <v>100</v>
      </c>
      <c r="T39" s="714" t="s">
        <v>17</v>
      </c>
      <c r="U39" s="715">
        <f t="shared" si="13"/>
        <v>100</v>
      </c>
      <c r="V39" s="714" t="s">
        <v>17</v>
      </c>
      <c r="W39" s="715">
        <f t="shared" si="14"/>
        <v>100</v>
      </c>
      <c r="X39" s="1538"/>
      <c r="Y39" s="3304"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92"/>
      <c r="Q40" s="1535" t="str">
        <f t="shared" si="11"/>
        <v>市政基础设施</v>
      </c>
      <c r="R40" s="714" t="s">
        <v>17</v>
      </c>
      <c r="S40" s="715">
        <f t="shared" si="12"/>
        <v>100</v>
      </c>
      <c r="T40" s="714" t="s">
        <v>17</v>
      </c>
      <c r="U40" s="715">
        <f t="shared" si="13"/>
        <v>100</v>
      </c>
      <c r="V40" s="714" t="s">
        <v>17</v>
      </c>
      <c r="W40" s="715">
        <f t="shared" si="14"/>
        <v>100</v>
      </c>
      <c r="X40" s="1538"/>
      <c r="Y40" s="3304"/>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92"/>
      <c r="Q41" s="1535" t="str">
        <f t="shared" si="11"/>
        <v>层高</v>
      </c>
      <c r="R41" s="714" t="s">
        <v>17</v>
      </c>
      <c r="S41" s="715">
        <f t="shared" si="12"/>
        <v>100</v>
      </c>
      <c r="T41" s="714" t="s">
        <v>17</v>
      </c>
      <c r="U41" s="715">
        <f t="shared" si="13"/>
        <v>100</v>
      </c>
      <c r="V41" s="714" t="s">
        <v>17</v>
      </c>
      <c r="W41" s="715">
        <f t="shared" si="14"/>
        <v>100</v>
      </c>
      <c r="X41" s="1538"/>
      <c r="Y41" s="3304"/>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92"/>
      <c r="Q42" s="716" t="str">
        <f t="shared" si="11"/>
        <v>单套建筑面积</v>
      </c>
      <c r="R42" s="717" t="s">
        <v>17</v>
      </c>
      <c r="S42" s="718">
        <f t="shared" si="12"/>
        <v>100</v>
      </c>
      <c r="T42" s="717" t="s">
        <v>17</v>
      </c>
      <c r="U42" s="718">
        <f t="shared" si="13"/>
        <v>100</v>
      </c>
      <c r="V42" s="717" t="s">
        <v>17</v>
      </c>
      <c r="W42" s="718">
        <f t="shared" si="14"/>
        <v>100</v>
      </c>
      <c r="X42" s="719"/>
      <c r="Y42" s="3304"/>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92"/>
      <c r="Q43" s="1535" t="str">
        <f t="shared" si="11"/>
        <v>内部装修</v>
      </c>
      <c r="R43" s="714" t="s">
        <v>17</v>
      </c>
      <c r="S43" s="715">
        <f t="shared" si="12"/>
        <v>100</v>
      </c>
      <c r="T43" s="714" t="s">
        <v>17</v>
      </c>
      <c r="U43" s="715">
        <f t="shared" si="13"/>
        <v>100</v>
      </c>
      <c r="V43" s="714" t="s">
        <v>17</v>
      </c>
      <c r="W43" s="715">
        <f t="shared" si="14"/>
        <v>100</v>
      </c>
      <c r="X43" s="1538"/>
      <c r="Y43" s="3304"/>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7"/>
      <c r="M44" s="2941"/>
      <c r="N44" s="2941"/>
      <c r="O44" s="2941"/>
      <c r="P44" s="3392"/>
      <c r="Q44" s="1535" t="str">
        <f t="shared" si="11"/>
        <v>内部装修维护情况</v>
      </c>
      <c r="R44" s="714" t="s">
        <v>17</v>
      </c>
      <c r="S44" s="715">
        <f t="shared" si="12"/>
        <v>100</v>
      </c>
      <c r="T44" s="714" t="s">
        <v>17</v>
      </c>
      <c r="U44" s="715">
        <f t="shared" si="13"/>
        <v>100</v>
      </c>
      <c r="V44" s="714" t="s">
        <v>17</v>
      </c>
      <c r="W44" s="715">
        <f t="shared" si="14"/>
        <v>100</v>
      </c>
      <c r="X44" s="1538"/>
      <c r="Y44" s="3304"/>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92"/>
      <c r="Q45" s="1526">
        <f t="shared" si="11"/>
        <v>111</v>
      </c>
      <c r="R45" s="710" t="s">
        <v>17</v>
      </c>
      <c r="S45" s="711">
        <f t="shared" si="12"/>
        <v>100</v>
      </c>
      <c r="T45" s="710" t="s">
        <v>17</v>
      </c>
      <c r="U45" s="711">
        <f t="shared" si="13"/>
        <v>100</v>
      </c>
      <c r="V45" s="710" t="s">
        <v>17</v>
      </c>
      <c r="W45" s="711">
        <f t="shared" si="14"/>
        <v>100</v>
      </c>
      <c r="X45" s="712"/>
      <c r="Y45" s="3304"/>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92"/>
      <c r="Q46" s="1535">
        <f t="shared" si="11"/>
        <v>111</v>
      </c>
      <c r="R46" s="714" t="s">
        <v>17</v>
      </c>
      <c r="S46" s="715">
        <f t="shared" si="12"/>
        <v>100</v>
      </c>
      <c r="T46" s="714" t="s">
        <v>17</v>
      </c>
      <c r="U46" s="715">
        <f t="shared" si="13"/>
        <v>100</v>
      </c>
      <c r="V46" s="714" t="s">
        <v>17</v>
      </c>
      <c r="W46" s="715">
        <f t="shared" si="14"/>
        <v>100</v>
      </c>
      <c r="X46" s="1538"/>
      <c r="Y46" s="3304"/>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93"/>
      <c r="Q47" s="1535">
        <f t="shared" si="11"/>
        <v>111</v>
      </c>
      <c r="R47" s="714" t="s">
        <v>17</v>
      </c>
      <c r="S47" s="715">
        <f t="shared" si="12"/>
        <v>100</v>
      </c>
      <c r="T47" s="714" t="s">
        <v>17</v>
      </c>
      <c r="U47" s="715">
        <f t="shared" si="13"/>
        <v>100</v>
      </c>
      <c r="V47" s="714" t="s">
        <v>17</v>
      </c>
      <c r="W47" s="715">
        <f t="shared" si="14"/>
        <v>100</v>
      </c>
      <c r="X47" s="1538"/>
      <c r="Y47" s="3394"/>
      <c r="Z47" s="1539">
        <f t="shared" si="15"/>
        <v>111</v>
      </c>
      <c r="AA47" s="1536">
        <f t="shared" si="3"/>
        <v>1</v>
      </c>
      <c r="AB47" s="1536">
        <f t="shared" si="4"/>
        <v>1</v>
      </c>
      <c r="AC47" s="2147">
        <f t="shared" si="5"/>
        <v>1</v>
      </c>
    </row>
    <row r="48" spans="1:29" ht="15">
      <c r="A48" s="438" t="s">
        <v>2398</v>
      </c>
      <c r="B48" s="439"/>
      <c r="C48" s="1316" t="s">
        <v>1</v>
      </c>
      <c r="D48" s="1317"/>
      <c r="E48" s="1318"/>
      <c r="F48" s="1319"/>
      <c r="G48" s="1320"/>
      <c r="H48" s="1321"/>
      <c r="I48" s="1318"/>
      <c r="J48" s="444"/>
      <c r="K48" s="723"/>
      <c r="L48" s="2949"/>
      <c r="M48" s="2941"/>
      <c r="N48" s="2941"/>
      <c r="O48" s="2941"/>
      <c r="P48" s="3298" t="str">
        <f>A48</f>
        <v>成交单价（元/平方米）</v>
      </c>
      <c r="Q48" s="3299"/>
      <c r="R48" s="3390">
        <f>E48</f>
        <v>0</v>
      </c>
      <c r="S48" s="3390"/>
      <c r="T48" s="3390">
        <f>G48</f>
        <v>0</v>
      </c>
      <c r="U48" s="3390"/>
      <c r="V48" s="3390">
        <f>I48</f>
        <v>0</v>
      </c>
      <c r="W48" s="3390"/>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49"/>
      <c r="M49" s="2941"/>
      <c r="N49" s="2941"/>
      <c r="O49" s="2941"/>
      <c r="P49" s="3298" t="str">
        <f>A49</f>
        <v>比较价值（元/平方米）</v>
      </c>
      <c r="Q49" s="329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9"/>
      <c r="M50" s="2941"/>
      <c r="N50" s="2941"/>
      <c r="O50" s="2941"/>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2131"/>
      <c r="Y50" s="2131"/>
      <c r="Z50" s="2131"/>
      <c r="AA50" s="2131"/>
      <c r="AB50" s="2131"/>
      <c r="AC50" s="2132"/>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2495</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4"/>
      <c r="R60" s="2884"/>
      <c r="S60" s="2884"/>
      <c r="T60" s="2884"/>
      <c r="U60" s="2884"/>
      <c r="V60" s="2884"/>
      <c r="W60" s="2884"/>
      <c r="X60" s="2884"/>
      <c r="Y60" s="2884"/>
      <c r="Z60" s="2884"/>
      <c r="AA60" s="2884"/>
      <c r="AB60" s="2884"/>
      <c r="AC60" s="2884"/>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4"/>
      <c r="S61" s="2884"/>
      <c r="T61" s="2884"/>
      <c r="U61" s="2884"/>
      <c r="V61" s="2884"/>
      <c r="W61" s="2884"/>
      <c r="X61" s="2884"/>
      <c r="Y61" s="2884"/>
      <c r="Z61" s="2884"/>
      <c r="AA61" s="2884"/>
      <c r="AB61" s="2884"/>
      <c r="AC61" s="2884"/>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4"/>
      <c r="S63" s="2884"/>
      <c r="T63" s="2884"/>
      <c r="U63" s="2884"/>
      <c r="V63" s="2884"/>
      <c r="W63" s="2884"/>
      <c r="X63" s="2884"/>
      <c r="Y63" s="2884"/>
      <c r="Z63" s="2884"/>
      <c r="AA63" s="2884"/>
      <c r="AB63" s="2884"/>
      <c r="AC63" s="2884"/>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6" t="s">
        <v>2496</v>
      </c>
      <c r="D83" s="616" t="s">
        <v>2497</v>
      </c>
      <c r="E83" s="616" t="s">
        <v>2498</v>
      </c>
      <c r="F83" s="616" t="s">
        <v>2499</v>
      </c>
      <c r="G83" s="616" t="s">
        <v>2500</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2"/>
      <c r="G89" s="511"/>
      <c r="H89" s="511"/>
      <c r="I89" s="511"/>
      <c r="J89" s="511"/>
      <c r="K89" s="511"/>
      <c r="L89" s="511"/>
      <c r="M89" s="538"/>
      <c r="N89" s="2977"/>
      <c r="O89" s="2977"/>
      <c r="P89" s="2987"/>
      <c r="Q89" s="2964"/>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3"/>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2522</v>
      </c>
      <c r="C119" s="540"/>
      <c r="D119" s="540"/>
      <c r="E119" s="540"/>
      <c r="F119" s="540"/>
      <c r="G119" s="540"/>
      <c r="H119" s="540"/>
      <c r="I119" s="540"/>
      <c r="J119" s="540"/>
      <c r="K119" s="540"/>
      <c r="L119" s="2153"/>
      <c r="M119" s="2154"/>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3"/>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39707.960000000006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1044"/>
      <c r="M4" s="1045"/>
      <c r="N4" s="1045"/>
      <c r="O4" s="1045"/>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1044"/>
      <c r="M5" s="1045"/>
      <c r="N5" s="1045"/>
      <c r="O5" s="1045"/>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567" t="s">
        <v>2368</v>
      </c>
      <c r="L6" s="1044"/>
      <c r="M6" s="1045"/>
      <c r="N6" s="1045"/>
      <c r="O6" s="1045"/>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8"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8" t="s">
        <v>2373</v>
      </c>
      <c r="Q8" s="3329"/>
      <c r="R8" s="710" t="s">
        <v>17</v>
      </c>
      <c r="S8" s="711">
        <f t="shared" si="0"/>
        <v>0</v>
      </c>
      <c r="T8" s="710" t="s">
        <v>17</v>
      </c>
      <c r="U8" s="711">
        <f t="shared" si="1"/>
        <v>0</v>
      </c>
      <c r="V8" s="710" t="s">
        <v>17</v>
      </c>
      <c r="W8" s="711">
        <f t="shared" si="2"/>
        <v>0</v>
      </c>
      <c r="X8" s="712"/>
      <c r="Y8" s="3328" t="s">
        <v>2373</v>
      </c>
      <c r="Z8" s="332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9"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9"/>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9"/>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99"/>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1" t="s">
        <v>2381</v>
      </c>
      <c r="Q15" s="1535" t="str">
        <f t="shared" si="6"/>
        <v>产业集聚程度</v>
      </c>
      <c r="R15" s="714" t="s">
        <v>17</v>
      </c>
      <c r="S15" s="715">
        <f t="shared" si="0"/>
        <v>100</v>
      </c>
      <c r="T15" s="714" t="s">
        <v>17</v>
      </c>
      <c r="U15" s="715">
        <f t="shared" si="1"/>
        <v>100</v>
      </c>
      <c r="V15" s="714" t="s">
        <v>17</v>
      </c>
      <c r="W15" s="715">
        <f t="shared" si="2"/>
        <v>100</v>
      </c>
      <c r="X15" s="1538"/>
      <c r="Y15" s="3301"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02"/>
      <c r="Q16" s="1535"/>
      <c r="R16" s="714"/>
      <c r="S16" s="715"/>
      <c r="T16" s="714"/>
      <c r="U16" s="715"/>
      <c r="V16" s="714"/>
      <c r="W16" s="715"/>
      <c r="X16" s="1538"/>
      <c r="Y16" s="3302"/>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2"/>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02"/>
      <c r="Q18" s="1535"/>
      <c r="R18" s="714"/>
      <c r="S18" s="715"/>
      <c r="T18" s="714"/>
      <c r="U18" s="715"/>
      <c r="V18" s="714"/>
      <c r="W18" s="715"/>
      <c r="X18" s="1538"/>
      <c r="Y18" s="3302"/>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2"/>
      <c r="Q19" s="1535" t="str">
        <f>B19</f>
        <v>公共配套设施</v>
      </c>
      <c r="R19" s="714" t="s">
        <v>17</v>
      </c>
      <c r="S19" s="715">
        <f>F19</f>
        <v>100</v>
      </c>
      <c r="T19" s="714" t="s">
        <v>17</v>
      </c>
      <c r="U19" s="715">
        <f>H19</f>
        <v>100</v>
      </c>
      <c r="V19" s="714" t="s">
        <v>17</v>
      </c>
      <c r="W19" s="715">
        <f>J19</f>
        <v>100</v>
      </c>
      <c r="X19" s="1538"/>
      <c r="Y19" s="330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02"/>
      <c r="Q20" s="1535"/>
      <c r="R20" s="714"/>
      <c r="S20" s="715"/>
      <c r="T20" s="714"/>
      <c r="U20" s="715"/>
      <c r="V20" s="714"/>
      <c r="W20" s="715"/>
      <c r="X20" s="1538"/>
      <c r="Y20" s="3302"/>
      <c r="Z20" s="1539"/>
      <c r="AA20" s="1536">
        <v>1</v>
      </c>
      <c r="AB20" s="1536">
        <v>1</v>
      </c>
      <c r="AC20" s="1536">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2"/>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02"/>
      <c r="Q22" s="1535"/>
      <c r="R22" s="714"/>
      <c r="S22" s="715"/>
      <c r="T22" s="714"/>
      <c r="U22" s="715"/>
      <c r="V22" s="714"/>
      <c r="W22" s="715"/>
      <c r="X22" s="1538"/>
      <c r="Y22" s="3302"/>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2"/>
      <c r="Q23" s="1535" t="str">
        <f>B23</f>
        <v>环境质量</v>
      </c>
      <c r="R23" s="714" t="s">
        <v>17</v>
      </c>
      <c r="S23" s="715">
        <f>F23</f>
        <v>100</v>
      </c>
      <c r="T23" s="714" t="s">
        <v>17</v>
      </c>
      <c r="U23" s="715">
        <f>H23</f>
        <v>100</v>
      </c>
      <c r="V23" s="714" t="s">
        <v>17</v>
      </c>
      <c r="W23" s="715">
        <f>J23</f>
        <v>100</v>
      </c>
      <c r="X23" s="1538"/>
      <c r="Y23" s="3302"/>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02"/>
      <c r="Q24" s="1535"/>
      <c r="R24" s="714"/>
      <c r="S24" s="715"/>
      <c r="T24" s="714"/>
      <c r="U24" s="715"/>
      <c r="V24" s="714"/>
      <c r="W24" s="715"/>
      <c r="X24" s="1538"/>
      <c r="Y24" s="3302"/>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2"/>
      <c r="Q25" s="1535">
        <f>B25</f>
        <v>111</v>
      </c>
      <c r="R25" s="714" t="s">
        <v>17</v>
      </c>
      <c r="S25" s="715">
        <f>F25</f>
        <v>100</v>
      </c>
      <c r="T25" s="714" t="s">
        <v>17</v>
      </c>
      <c r="U25" s="715">
        <f>H25</f>
        <v>100</v>
      </c>
      <c r="V25" s="714" t="s">
        <v>17</v>
      </c>
      <c r="W25" s="715">
        <f>J25</f>
        <v>100</v>
      </c>
      <c r="X25" s="1538"/>
      <c r="Y25" s="3302"/>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2"/>
      <c r="Q26" s="1535">
        <f t="shared" ref="Q26:Q40" si="11">B26</f>
        <v>111</v>
      </c>
      <c r="R26" s="714" t="s">
        <v>17</v>
      </c>
      <c r="S26" s="715">
        <f>F26</f>
        <v>100</v>
      </c>
      <c r="T26" s="714" t="s">
        <v>17</v>
      </c>
      <c r="U26" s="715">
        <f>H26</f>
        <v>100</v>
      </c>
      <c r="V26" s="714" t="s">
        <v>17</v>
      </c>
      <c r="W26" s="715">
        <f>J26</f>
        <v>100</v>
      </c>
      <c r="X26" s="1538"/>
      <c r="Y26" s="3302"/>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2"/>
      <c r="Q27" s="1526">
        <f t="shared" si="11"/>
        <v>111</v>
      </c>
      <c r="R27" s="710" t="s">
        <v>17</v>
      </c>
      <c r="S27" s="711">
        <f>F27</f>
        <v>100</v>
      </c>
      <c r="T27" s="710" t="s">
        <v>17</v>
      </c>
      <c r="U27" s="711">
        <f>H27</f>
        <v>100</v>
      </c>
      <c r="V27" s="710" t="s">
        <v>17</v>
      </c>
      <c r="W27" s="711">
        <f>J27</f>
        <v>100</v>
      </c>
      <c r="X27" s="712"/>
      <c r="Y27" s="3302"/>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2"/>
      <c r="Q28" s="1535">
        <f t="shared" si="11"/>
        <v>111</v>
      </c>
      <c r="R28" s="714" t="s">
        <v>17</v>
      </c>
      <c r="S28" s="715">
        <f t="shared" ref="S28:S40" si="12">F28</f>
        <v>100</v>
      </c>
      <c r="T28" s="714" t="s">
        <v>17</v>
      </c>
      <c r="U28" s="715">
        <f t="shared" ref="U28:U40" si="13">H28</f>
        <v>100</v>
      </c>
      <c r="V28" s="714" t="s">
        <v>17</v>
      </c>
      <c r="W28" s="715">
        <f t="shared" ref="W28:W40" si="14">J28</f>
        <v>100</v>
      </c>
      <c r="X28" s="1538"/>
      <c r="Y28" s="3302"/>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03" t="s">
        <v>2386</v>
      </c>
      <c r="Q29" s="1535" t="str">
        <f t="shared" si="11"/>
        <v>建筑类型</v>
      </c>
      <c r="R29" s="714" t="s">
        <v>17</v>
      </c>
      <c r="S29" s="715">
        <f t="shared" si="12"/>
        <v>100</v>
      </c>
      <c r="T29" s="714" t="s">
        <v>17</v>
      </c>
      <c r="U29" s="715">
        <f t="shared" si="13"/>
        <v>100</v>
      </c>
      <c r="V29" s="714" t="s">
        <v>17</v>
      </c>
      <c r="W29" s="715">
        <f t="shared" si="14"/>
        <v>100</v>
      </c>
      <c r="X29" s="1538"/>
      <c r="Y29" s="3304"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4"/>
      <c r="Q30" s="716" t="str">
        <f t="shared" si="11"/>
        <v>项目建筑规模</v>
      </c>
      <c r="R30" s="717" t="s">
        <v>17</v>
      </c>
      <c r="S30" s="718" t="e">
        <f t="shared" si="12"/>
        <v>#N/A</v>
      </c>
      <c r="T30" s="717" t="s">
        <v>17</v>
      </c>
      <c r="U30" s="718" t="e">
        <f t="shared" si="13"/>
        <v>#N/A</v>
      </c>
      <c r="V30" s="717" t="s">
        <v>17</v>
      </c>
      <c r="W30" s="718" t="e">
        <f t="shared" si="14"/>
        <v>#N/A</v>
      </c>
      <c r="X30" s="719"/>
      <c r="Y30" s="3304"/>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4"/>
      <c r="Q31" s="1535" t="str">
        <f t="shared" si="11"/>
        <v>建筑结构</v>
      </c>
      <c r="R31" s="714" t="s">
        <v>17</v>
      </c>
      <c r="S31" s="715">
        <f t="shared" si="12"/>
        <v>100</v>
      </c>
      <c r="T31" s="714" t="s">
        <v>17</v>
      </c>
      <c r="U31" s="715">
        <f t="shared" si="13"/>
        <v>100</v>
      </c>
      <c r="V31" s="714" t="s">
        <v>17</v>
      </c>
      <c r="W31" s="715">
        <f t="shared" si="14"/>
        <v>100</v>
      </c>
      <c r="X31" s="1538"/>
      <c r="Y31" s="3304"/>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4"/>
      <c r="Q32" s="1535" t="str">
        <f t="shared" si="11"/>
        <v>公共部分装修</v>
      </c>
      <c r="R32" s="714" t="s">
        <v>17</v>
      </c>
      <c r="S32" s="715">
        <f t="shared" si="12"/>
        <v>100</v>
      </c>
      <c r="T32" s="714" t="s">
        <v>17</v>
      </c>
      <c r="U32" s="715">
        <f t="shared" si="13"/>
        <v>100</v>
      </c>
      <c r="V32" s="714" t="s">
        <v>17</v>
      </c>
      <c r="W32" s="715">
        <f t="shared" si="14"/>
        <v>100</v>
      </c>
      <c r="X32" s="1538"/>
      <c r="Y32" s="3304"/>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4"/>
      <c r="Q33" s="1535" t="str">
        <f t="shared" si="11"/>
        <v>成新度</v>
      </c>
      <c r="R33" s="714" t="s">
        <v>17</v>
      </c>
      <c r="S33" s="715" t="e">
        <f t="shared" si="12"/>
        <v>#N/A</v>
      </c>
      <c r="T33" s="714" t="s">
        <v>17</v>
      </c>
      <c r="U33" s="715" t="e">
        <f t="shared" si="13"/>
        <v>#N/A</v>
      </c>
      <c r="V33" s="714" t="s">
        <v>17</v>
      </c>
      <c r="W33" s="715" t="e">
        <f t="shared" si="14"/>
        <v>#N/A</v>
      </c>
      <c r="X33" s="1538"/>
      <c r="Y33" s="3304"/>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4"/>
      <c r="Q34" s="1526" t="str">
        <f t="shared" si="11"/>
        <v>物业管理</v>
      </c>
      <c r="R34" s="710" t="s">
        <v>17</v>
      </c>
      <c r="S34" s="711">
        <f t="shared" si="12"/>
        <v>100</v>
      </c>
      <c r="T34" s="710" t="s">
        <v>17</v>
      </c>
      <c r="U34" s="711">
        <f t="shared" si="13"/>
        <v>100</v>
      </c>
      <c r="V34" s="710" t="s">
        <v>17</v>
      </c>
      <c r="W34" s="711">
        <f t="shared" si="14"/>
        <v>100</v>
      </c>
      <c r="X34" s="712"/>
      <c r="Y34" s="330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4" t="s">
        <v>2386</v>
      </c>
      <c r="Q35" s="1535" t="str">
        <f t="shared" si="11"/>
        <v>市政基础设施</v>
      </c>
      <c r="R35" s="714" t="s">
        <v>17</v>
      </c>
      <c r="S35" s="715">
        <f t="shared" si="12"/>
        <v>100</v>
      </c>
      <c r="T35" s="714" t="s">
        <v>17</v>
      </c>
      <c r="U35" s="715">
        <f t="shared" si="13"/>
        <v>100</v>
      </c>
      <c r="V35" s="714" t="s">
        <v>17</v>
      </c>
      <c r="W35" s="715">
        <f t="shared" si="14"/>
        <v>100</v>
      </c>
      <c r="X35" s="1538"/>
      <c r="Y35" s="3304"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4"/>
      <c r="Q36" s="1535" t="str">
        <f t="shared" si="11"/>
        <v>内部装修</v>
      </c>
      <c r="R36" s="714" t="s">
        <v>17</v>
      </c>
      <c r="S36" s="715">
        <f t="shared" si="12"/>
        <v>100</v>
      </c>
      <c r="T36" s="714" t="s">
        <v>17</v>
      </c>
      <c r="U36" s="715">
        <f t="shared" si="13"/>
        <v>100</v>
      </c>
      <c r="V36" s="714" t="s">
        <v>17</v>
      </c>
      <c r="W36" s="715">
        <f t="shared" si="14"/>
        <v>100</v>
      </c>
      <c r="X36" s="1538"/>
      <c r="Y36" s="3304"/>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4"/>
      <c r="Q37" s="1535" t="str">
        <f t="shared" si="11"/>
        <v>内部装修状况</v>
      </c>
      <c r="R37" s="714" t="s">
        <v>17</v>
      </c>
      <c r="S37" s="715">
        <f t="shared" si="12"/>
        <v>100</v>
      </c>
      <c r="T37" s="714" t="s">
        <v>17</v>
      </c>
      <c r="U37" s="715">
        <f t="shared" si="13"/>
        <v>100</v>
      </c>
      <c r="V37" s="714" t="s">
        <v>17</v>
      </c>
      <c r="W37" s="715">
        <f t="shared" si="14"/>
        <v>100</v>
      </c>
      <c r="X37" s="1538"/>
      <c r="Y37" s="3304"/>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4"/>
      <c r="Q38" s="716">
        <f t="shared" si="11"/>
        <v>111</v>
      </c>
      <c r="R38" s="717" t="s">
        <v>17</v>
      </c>
      <c r="S38" s="718">
        <f t="shared" si="12"/>
        <v>100</v>
      </c>
      <c r="T38" s="717" t="s">
        <v>17</v>
      </c>
      <c r="U38" s="718">
        <f t="shared" si="13"/>
        <v>100</v>
      </c>
      <c r="V38" s="717" t="s">
        <v>17</v>
      </c>
      <c r="W38" s="718">
        <f t="shared" si="14"/>
        <v>100</v>
      </c>
      <c r="X38" s="719"/>
      <c r="Y38" s="3304"/>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4"/>
      <c r="Q39" s="1535">
        <f t="shared" si="11"/>
        <v>111</v>
      </c>
      <c r="R39" s="714" t="s">
        <v>17</v>
      </c>
      <c r="S39" s="715">
        <f t="shared" si="12"/>
        <v>100</v>
      </c>
      <c r="T39" s="714" t="s">
        <v>17</v>
      </c>
      <c r="U39" s="715">
        <f t="shared" si="13"/>
        <v>100</v>
      </c>
      <c r="V39" s="714" t="s">
        <v>17</v>
      </c>
      <c r="W39" s="715">
        <f t="shared" si="14"/>
        <v>100</v>
      </c>
      <c r="X39" s="1538"/>
      <c r="Y39" s="3304"/>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5">
        <f t="shared" si="11"/>
        <v>111</v>
      </c>
      <c r="R40" s="714" t="s">
        <v>17</v>
      </c>
      <c r="S40" s="715">
        <f t="shared" si="12"/>
        <v>100</v>
      </c>
      <c r="T40" s="714" t="s">
        <v>17</v>
      </c>
      <c r="U40" s="715">
        <f t="shared" si="13"/>
        <v>100</v>
      </c>
      <c r="V40" s="714" t="s">
        <v>17</v>
      </c>
      <c r="W40" s="715">
        <f t="shared" si="14"/>
        <v>100</v>
      </c>
      <c r="X40" s="1538"/>
      <c r="Y40" s="3394"/>
      <c r="Z40" s="1539">
        <f t="shared" si="15"/>
        <v>111</v>
      </c>
      <c r="AA40" s="1536">
        <f t="shared" si="3"/>
        <v>1</v>
      </c>
      <c r="AB40" s="1536">
        <f t="shared" si="4"/>
        <v>1</v>
      </c>
      <c r="AC40" s="1536">
        <f t="shared" si="5"/>
        <v>1</v>
      </c>
    </row>
    <row r="41" spans="1:29" ht="15">
      <c r="A41" s="438" t="s">
        <v>2398</v>
      </c>
      <c r="B41" s="439"/>
      <c r="C41" s="1316" t="s">
        <v>1</v>
      </c>
      <c r="D41" s="1317"/>
      <c r="E41" s="1318"/>
      <c r="F41" s="1319"/>
      <c r="G41" s="1320"/>
      <c r="H41" s="1321"/>
      <c r="I41" s="1318"/>
      <c r="J41" s="1321"/>
      <c r="K41" s="723"/>
      <c r="L41" s="1057"/>
      <c r="M41" s="1058"/>
      <c r="N41" s="1045"/>
      <c r="O41" s="1058"/>
      <c r="P41" s="3299" t="str">
        <f>A41</f>
        <v>成交单价（元/平方米）</v>
      </c>
      <c r="Q41" s="3299"/>
      <c r="R41" s="3390">
        <f>E41</f>
        <v>0</v>
      </c>
      <c r="S41" s="3390"/>
      <c r="T41" s="3390">
        <f>G41</f>
        <v>0</v>
      </c>
      <c r="U41" s="3390"/>
      <c r="V41" s="3390">
        <f>I41</f>
        <v>0</v>
      </c>
      <c r="W41" s="3390"/>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99" t="str">
        <f>A42</f>
        <v>比较价值（元/平方米）</v>
      </c>
      <c r="Q42" s="329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93" t="str">
        <f>A43</f>
        <v>估价对象XX用房的比较价值（楼面单价，元/平方米）</v>
      </c>
      <c r="Q43" s="3294"/>
      <c r="R43" s="3389" t="e">
        <f>IF(F1="售价",ROUND(IF(D42="简单平均",AVERAGE(R42:V42),R42*F42+T42*H42+V42*J42),0),ROUND(IF(D42="简单平均",AVERAGE(R42:V42),R42*F42+T42*H42+V42*J42),1))</f>
        <v>#DIV/0!</v>
      </c>
      <c r="S43" s="3389"/>
      <c r="T43" s="3389"/>
      <c r="U43" s="3389"/>
      <c r="V43" s="3389"/>
      <c r="W43" s="3389"/>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28" t="s">
        <v>2370</v>
      </c>
      <c r="Q7" s="3330"/>
      <c r="R7" s="710" t="s">
        <v>17</v>
      </c>
      <c r="S7" s="711">
        <f t="shared" ref="S7:S14" si="0">F7</f>
        <v>0</v>
      </c>
      <c r="T7" s="710" t="s">
        <v>17</v>
      </c>
      <c r="U7" s="711">
        <f t="shared" ref="U7:U14" si="1">H7</f>
        <v>0</v>
      </c>
      <c r="V7" s="710" t="s">
        <v>17</v>
      </c>
      <c r="W7" s="711">
        <f t="shared" ref="W7:W14" si="2">J7</f>
        <v>0</v>
      </c>
      <c r="X7" s="712"/>
      <c r="Y7" s="3328" t="s">
        <v>2370</v>
      </c>
      <c r="Z7" s="332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99" t="s">
        <v>2376</v>
      </c>
      <c r="Q9" s="1526" t="str">
        <f t="shared" ref="Q9:Q14" si="6">B9</f>
        <v>用途</v>
      </c>
      <c r="R9" s="710" t="s">
        <v>17</v>
      </c>
      <c r="S9" s="711">
        <f t="shared" si="0"/>
        <v>100</v>
      </c>
      <c r="T9" s="710" t="s">
        <v>17</v>
      </c>
      <c r="U9" s="711">
        <f t="shared" si="1"/>
        <v>100</v>
      </c>
      <c r="V9" s="710" t="s">
        <v>17</v>
      </c>
      <c r="W9" s="711">
        <f t="shared" si="2"/>
        <v>100</v>
      </c>
      <c r="X9" s="712"/>
      <c r="Y9" s="319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99"/>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99"/>
      <c r="Q11" s="1526">
        <f t="shared" si="6"/>
        <v>111</v>
      </c>
      <c r="R11" s="710" t="s">
        <v>17</v>
      </c>
      <c r="S11" s="711">
        <f t="shared" si="0"/>
        <v>100</v>
      </c>
      <c r="T11" s="710" t="s">
        <v>17</v>
      </c>
      <c r="U11" s="711">
        <f t="shared" si="1"/>
        <v>100</v>
      </c>
      <c r="V11" s="710" t="s">
        <v>17</v>
      </c>
      <c r="W11" s="711">
        <f t="shared" si="2"/>
        <v>100</v>
      </c>
      <c r="X11" s="712"/>
      <c r="Y11" s="319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
      <c r="A14" s="361" t="s">
        <v>2380</v>
      </c>
      <c r="B14" s="585" t="s">
        <v>2530</v>
      </c>
      <c r="C14" s="2156"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01" t="s">
        <v>2381</v>
      </c>
      <c r="Q14" s="1535" t="str">
        <f t="shared" si="6"/>
        <v>交通便捷度</v>
      </c>
      <c r="R14" s="714" t="s">
        <v>17</v>
      </c>
      <c r="S14" s="715">
        <f t="shared" si="0"/>
        <v>100</v>
      </c>
      <c r="T14" s="714" t="s">
        <v>17</v>
      </c>
      <c r="U14" s="715">
        <f t="shared" si="1"/>
        <v>100</v>
      </c>
      <c r="V14" s="714" t="s">
        <v>17</v>
      </c>
      <c r="W14" s="715">
        <f t="shared" si="2"/>
        <v>100</v>
      </c>
      <c r="X14" s="1538"/>
      <c r="Y14" s="3301"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7"/>
      <c r="M15" s="2941"/>
      <c r="N15" s="2941"/>
      <c r="O15" s="2941"/>
      <c r="P15" s="3302"/>
      <c r="Q15" s="1535"/>
      <c r="R15" s="714"/>
      <c r="S15" s="715"/>
      <c r="T15" s="714"/>
      <c r="U15" s="715"/>
      <c r="V15" s="714"/>
      <c r="W15" s="715"/>
      <c r="X15" s="1538"/>
      <c r="Y15" s="3302"/>
      <c r="Z15" s="1539"/>
      <c r="AA15" s="1536">
        <v>1</v>
      </c>
      <c r="AB15" s="1536">
        <v>1</v>
      </c>
      <c r="AC15" s="1536">
        <v>1</v>
      </c>
    </row>
    <row r="16" spans="1:29" ht="15">
      <c r="A16" s="364"/>
      <c r="B16" s="587" t="s">
        <v>2509</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02"/>
      <c r="Q16" s="1535" t="str">
        <f>B16</f>
        <v>公共配套设施</v>
      </c>
      <c r="R16" s="714" t="s">
        <v>17</v>
      </c>
      <c r="S16" s="715">
        <f>F16</f>
        <v>100</v>
      </c>
      <c r="T16" s="714" t="s">
        <v>17</v>
      </c>
      <c r="U16" s="715">
        <f>H16</f>
        <v>100</v>
      </c>
      <c r="V16" s="714" t="s">
        <v>17</v>
      </c>
      <c r="W16" s="715">
        <f>J16</f>
        <v>100</v>
      </c>
      <c r="X16" s="1538"/>
      <c r="Y16" s="3302"/>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47"/>
      <c r="M17" s="2941"/>
      <c r="N17" s="2941"/>
      <c r="O17" s="2941"/>
      <c r="P17" s="3302"/>
      <c r="Q17" s="1535"/>
      <c r="R17" s="714"/>
      <c r="S17" s="715"/>
      <c r="T17" s="714"/>
      <c r="U17" s="715"/>
      <c r="V17" s="714"/>
      <c r="W17" s="715"/>
      <c r="X17" s="1538"/>
      <c r="Y17" s="3302"/>
      <c r="Z17" s="1539"/>
      <c r="AA17" s="1536">
        <v>1</v>
      </c>
      <c r="AB17" s="1536">
        <v>1</v>
      </c>
      <c r="AC17" s="1536">
        <v>1</v>
      </c>
    </row>
    <row r="18" spans="1:29" ht="15">
      <c r="A18" s="364"/>
      <c r="B18" s="589" t="s">
        <v>2510</v>
      </c>
      <c r="C18" s="208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02"/>
      <c r="Q18" s="1535" t="str">
        <f>B18</f>
        <v>基础设施水平</v>
      </c>
      <c r="R18" s="714" t="s">
        <v>17</v>
      </c>
      <c r="S18" s="715">
        <f>F18</f>
        <v>100</v>
      </c>
      <c r="T18" s="714" t="s">
        <v>17</v>
      </c>
      <c r="U18" s="715">
        <f>H18</f>
        <v>100</v>
      </c>
      <c r="V18" s="714" t="s">
        <v>17</v>
      </c>
      <c r="W18" s="715">
        <f>J18</f>
        <v>100</v>
      </c>
      <c r="X18" s="1538"/>
      <c r="Y18" s="3302"/>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47"/>
      <c r="M19" s="2941"/>
      <c r="N19" s="2941"/>
      <c r="O19" s="2941"/>
      <c r="P19" s="3302"/>
      <c r="Q19" s="1535"/>
      <c r="R19" s="714"/>
      <c r="S19" s="715"/>
      <c r="T19" s="714"/>
      <c r="U19" s="715"/>
      <c r="V19" s="714"/>
      <c r="W19" s="715"/>
      <c r="X19" s="1538"/>
      <c r="Y19" s="3302"/>
      <c r="Z19" s="1539"/>
      <c r="AA19" s="1536">
        <v>1</v>
      </c>
      <c r="AB19" s="1536">
        <v>1</v>
      </c>
      <c r="AC19" s="1536">
        <v>1</v>
      </c>
    </row>
    <row r="20" spans="1:29" ht="15">
      <c r="A20" s="364"/>
      <c r="B20" s="587" t="s">
        <v>2531</v>
      </c>
      <c r="C20" s="2085"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02"/>
      <c r="Q20" s="1535" t="str">
        <f>B20</f>
        <v>自然及人文环境</v>
      </c>
      <c r="R20" s="714" t="s">
        <v>17</v>
      </c>
      <c r="S20" s="715">
        <f>F20</f>
        <v>100</v>
      </c>
      <c r="T20" s="714" t="s">
        <v>17</v>
      </c>
      <c r="U20" s="715">
        <f>H20</f>
        <v>100</v>
      </c>
      <c r="V20" s="714" t="s">
        <v>17</v>
      </c>
      <c r="W20" s="715">
        <f>J20</f>
        <v>100</v>
      </c>
      <c r="X20" s="1538"/>
      <c r="Y20" s="3302"/>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7"/>
      <c r="M21" s="2941"/>
      <c r="N21" s="2941"/>
      <c r="O21" s="2941"/>
      <c r="P21" s="3302"/>
      <c r="Q21" s="1535"/>
      <c r="R21" s="714"/>
      <c r="S21" s="715"/>
      <c r="T21" s="714"/>
      <c r="U21" s="715"/>
      <c r="V21" s="714"/>
      <c r="W21" s="715"/>
      <c r="X21" s="1538"/>
      <c r="Y21" s="3302"/>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02"/>
      <c r="Q22" s="1535" t="str">
        <f>B22</f>
        <v>楼层</v>
      </c>
      <c r="R22" s="714" t="s">
        <v>17</v>
      </c>
      <c r="S22" s="715">
        <f>F22</f>
        <v>100</v>
      </c>
      <c r="T22" s="714" t="s">
        <v>17</v>
      </c>
      <c r="U22" s="715">
        <f>H22</f>
        <v>100</v>
      </c>
      <c r="V22" s="714" t="s">
        <v>17</v>
      </c>
      <c r="W22" s="715">
        <f>J22</f>
        <v>100</v>
      </c>
      <c r="X22" s="1538"/>
      <c r="Y22" s="3302"/>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02"/>
      <c r="Q23" s="1535">
        <f>B23</f>
        <v>111</v>
      </c>
      <c r="R23" s="714" t="s">
        <v>17</v>
      </c>
      <c r="S23" s="715">
        <f>F23</f>
        <v>100</v>
      </c>
      <c r="T23" s="714" t="s">
        <v>17</v>
      </c>
      <c r="U23" s="715">
        <f>H23</f>
        <v>100</v>
      </c>
      <c r="V23" s="714" t="s">
        <v>17</v>
      </c>
      <c r="W23" s="715">
        <f>J23</f>
        <v>100</v>
      </c>
      <c r="X23" s="1538"/>
      <c r="Y23" s="3302"/>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02"/>
      <c r="Q24" s="1535">
        <f t="shared" ref="Q24:Q36" si="11">B24</f>
        <v>111</v>
      </c>
      <c r="R24" s="714" t="s">
        <v>17</v>
      </c>
      <c r="S24" s="715">
        <f>F24</f>
        <v>100</v>
      </c>
      <c r="T24" s="714" t="s">
        <v>17</v>
      </c>
      <c r="U24" s="715">
        <f>H24</f>
        <v>100</v>
      </c>
      <c r="V24" s="714" t="s">
        <v>17</v>
      </c>
      <c r="W24" s="715">
        <f>J24</f>
        <v>100</v>
      </c>
      <c r="X24" s="1538"/>
      <c r="Y24" s="3302"/>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02"/>
      <c r="Q25" s="1526">
        <f t="shared" si="11"/>
        <v>111</v>
      </c>
      <c r="R25" s="710" t="s">
        <v>17</v>
      </c>
      <c r="S25" s="711">
        <f>F25</f>
        <v>100</v>
      </c>
      <c r="T25" s="710" t="s">
        <v>17</v>
      </c>
      <c r="U25" s="711">
        <f>H25</f>
        <v>100</v>
      </c>
      <c r="V25" s="710" t="s">
        <v>17</v>
      </c>
      <c r="W25" s="711">
        <f>J25</f>
        <v>100</v>
      </c>
      <c r="X25" s="712"/>
      <c r="Y25" s="3302"/>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03"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04"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04"/>
      <c r="Q27" s="716" t="str">
        <f t="shared" si="11"/>
        <v>项目停车位配比</v>
      </c>
      <c r="R27" s="717" t="s">
        <v>17</v>
      </c>
      <c r="S27" s="718">
        <f t="shared" si="12"/>
        <v>100</v>
      </c>
      <c r="T27" s="717" t="s">
        <v>17</v>
      </c>
      <c r="U27" s="718">
        <f t="shared" si="13"/>
        <v>100</v>
      </c>
      <c r="V27" s="717" t="s">
        <v>17</v>
      </c>
      <c r="W27" s="718">
        <f t="shared" si="14"/>
        <v>100</v>
      </c>
      <c r="X27" s="719"/>
      <c r="Y27" s="3304"/>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04"/>
      <c r="Q28" s="1535" t="str">
        <f t="shared" si="11"/>
        <v>公共部分装修</v>
      </c>
      <c r="R28" s="714" t="s">
        <v>17</v>
      </c>
      <c r="S28" s="715">
        <f t="shared" si="12"/>
        <v>100</v>
      </c>
      <c r="T28" s="714" t="s">
        <v>17</v>
      </c>
      <c r="U28" s="715">
        <f t="shared" si="13"/>
        <v>100</v>
      </c>
      <c r="V28" s="714" t="s">
        <v>17</v>
      </c>
      <c r="W28" s="715">
        <f t="shared" si="14"/>
        <v>100</v>
      </c>
      <c r="X28" s="1538"/>
      <c r="Y28" s="3304"/>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04"/>
      <c r="Q29" s="1535" t="str">
        <f t="shared" si="11"/>
        <v>成新率</v>
      </c>
      <c r="R29" s="714" t="s">
        <v>17</v>
      </c>
      <c r="S29" s="715" t="e">
        <f t="shared" si="12"/>
        <v>#N/A</v>
      </c>
      <c r="T29" s="714" t="s">
        <v>17</v>
      </c>
      <c r="U29" s="715" t="e">
        <f t="shared" si="13"/>
        <v>#N/A</v>
      </c>
      <c r="V29" s="714" t="s">
        <v>17</v>
      </c>
      <c r="W29" s="715" t="e">
        <f t="shared" si="14"/>
        <v>#N/A</v>
      </c>
      <c r="X29" s="1538"/>
      <c r="Y29" s="3304"/>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04"/>
      <c r="Q30" s="1535" t="str">
        <f t="shared" si="11"/>
        <v>物业等级</v>
      </c>
      <c r="R30" s="714" t="s">
        <v>17</v>
      </c>
      <c r="S30" s="715">
        <f t="shared" si="12"/>
        <v>100</v>
      </c>
      <c r="T30" s="714" t="s">
        <v>17</v>
      </c>
      <c r="U30" s="715">
        <f t="shared" si="13"/>
        <v>100</v>
      </c>
      <c r="V30" s="714" t="s">
        <v>17</v>
      </c>
      <c r="W30" s="715">
        <f t="shared" si="14"/>
        <v>100</v>
      </c>
      <c r="X30" s="1538"/>
      <c r="Y30" s="3304"/>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04"/>
      <c r="Q31" s="1526" t="str">
        <f t="shared" si="11"/>
        <v>停车位面积</v>
      </c>
      <c r="R31" s="710" t="s">
        <v>17</v>
      </c>
      <c r="S31" s="711" t="e">
        <f t="shared" si="12"/>
        <v>#N/A</v>
      </c>
      <c r="T31" s="710" t="s">
        <v>17</v>
      </c>
      <c r="U31" s="711" t="e">
        <f t="shared" si="13"/>
        <v>#N/A</v>
      </c>
      <c r="V31" s="710" t="s">
        <v>17</v>
      </c>
      <c r="W31" s="711" t="e">
        <f t="shared" si="14"/>
        <v>#N/A</v>
      </c>
      <c r="X31" s="712"/>
      <c r="Y31" s="330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04" t="s">
        <v>2386</v>
      </c>
      <c r="Q32" s="1535" t="str">
        <f t="shared" si="11"/>
        <v>车位类型</v>
      </c>
      <c r="R32" s="714" t="s">
        <v>17</v>
      </c>
      <c r="S32" s="715">
        <f t="shared" si="12"/>
        <v>100</v>
      </c>
      <c r="T32" s="714" t="s">
        <v>17</v>
      </c>
      <c r="U32" s="715">
        <f t="shared" si="13"/>
        <v>100</v>
      </c>
      <c r="V32" s="714" t="s">
        <v>17</v>
      </c>
      <c r="W32" s="715">
        <f t="shared" si="14"/>
        <v>100</v>
      </c>
      <c r="X32" s="1538"/>
      <c r="Y32" s="3304"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04"/>
      <c r="Q33" s="1535" t="str">
        <f t="shared" si="11"/>
        <v>是否直接入户</v>
      </c>
      <c r="R33" s="714" t="s">
        <v>17</v>
      </c>
      <c r="S33" s="715">
        <f t="shared" si="12"/>
        <v>100</v>
      </c>
      <c r="T33" s="714" t="s">
        <v>17</v>
      </c>
      <c r="U33" s="715">
        <f t="shared" si="13"/>
        <v>100</v>
      </c>
      <c r="V33" s="714" t="s">
        <v>17</v>
      </c>
      <c r="W33" s="715">
        <f t="shared" si="14"/>
        <v>100</v>
      </c>
      <c r="X33" s="1538"/>
      <c r="Y33" s="330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04"/>
      <c r="Q34" s="1535">
        <f t="shared" si="11"/>
        <v>111</v>
      </c>
      <c r="R34" s="714" t="s">
        <v>17</v>
      </c>
      <c r="S34" s="715">
        <f t="shared" si="12"/>
        <v>100</v>
      </c>
      <c r="T34" s="714" t="s">
        <v>17</v>
      </c>
      <c r="U34" s="715">
        <f t="shared" si="13"/>
        <v>100</v>
      </c>
      <c r="V34" s="714" t="s">
        <v>17</v>
      </c>
      <c r="W34" s="715">
        <f t="shared" si="14"/>
        <v>100</v>
      </c>
      <c r="X34" s="1538"/>
      <c r="Y34" s="330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04"/>
      <c r="Q35" s="716">
        <f t="shared" si="11"/>
        <v>111</v>
      </c>
      <c r="R35" s="717" t="s">
        <v>17</v>
      </c>
      <c r="S35" s="718">
        <f t="shared" si="12"/>
        <v>100</v>
      </c>
      <c r="T35" s="717" t="s">
        <v>17</v>
      </c>
      <c r="U35" s="718">
        <f t="shared" si="13"/>
        <v>100</v>
      </c>
      <c r="V35" s="717" t="s">
        <v>17</v>
      </c>
      <c r="W35" s="718">
        <f t="shared" si="14"/>
        <v>100</v>
      </c>
      <c r="X35" s="719"/>
      <c r="Y35" s="330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04"/>
      <c r="Q36" s="1535">
        <f t="shared" si="11"/>
        <v>111</v>
      </c>
      <c r="R36" s="714" t="s">
        <v>17</v>
      </c>
      <c r="S36" s="715">
        <f t="shared" si="12"/>
        <v>100</v>
      </c>
      <c r="T36" s="714" t="s">
        <v>17</v>
      </c>
      <c r="U36" s="715">
        <f t="shared" si="13"/>
        <v>100</v>
      </c>
      <c r="V36" s="714" t="s">
        <v>17</v>
      </c>
      <c r="W36" s="715">
        <f t="shared" si="14"/>
        <v>100</v>
      </c>
      <c r="X36" s="1538"/>
      <c r="Y36" s="3304"/>
      <c r="Z36" s="1539">
        <f t="shared" si="15"/>
        <v>111</v>
      </c>
      <c r="AA36" s="1536">
        <f t="shared" si="3"/>
        <v>1</v>
      </c>
      <c r="AB36" s="1536">
        <f t="shared" si="4"/>
        <v>1</v>
      </c>
      <c r="AC36" s="1536">
        <f t="shared" si="5"/>
        <v>1</v>
      </c>
    </row>
    <row r="37" spans="1:29" ht="15">
      <c r="A37" s="438" t="s">
        <v>2541</v>
      </c>
      <c r="B37" s="2158" t="s">
        <v>2542</v>
      </c>
      <c r="C37" s="1316" t="s">
        <v>1</v>
      </c>
      <c r="D37" s="1317"/>
      <c r="E37" s="1318"/>
      <c r="F37" s="1319"/>
      <c r="G37" s="1320"/>
      <c r="H37" s="1321"/>
      <c r="I37" s="1318"/>
      <c r="J37" s="1321"/>
      <c r="K37" s="576"/>
      <c r="L37" s="2949"/>
      <c r="M37" s="2950"/>
      <c r="N37" s="2941"/>
      <c r="O37" s="2950"/>
      <c r="P37" s="3299" t="str">
        <f>A37</f>
        <v>成交单价</v>
      </c>
      <c r="Q37" s="3299"/>
      <c r="R37" s="3390">
        <f>E37</f>
        <v>0</v>
      </c>
      <c r="S37" s="3390"/>
      <c r="T37" s="3390">
        <f>G37</f>
        <v>0</v>
      </c>
      <c r="U37" s="3390"/>
      <c r="V37" s="3390">
        <f>I37</f>
        <v>0</v>
      </c>
      <c r="W37" s="3390"/>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49"/>
      <c r="M38" s="2950"/>
      <c r="N38" s="2950"/>
      <c r="O38" s="2950"/>
      <c r="P38" s="3299" t="str">
        <f>A38</f>
        <v>比较价值（元/平方米）</v>
      </c>
      <c r="Q38" s="329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9"/>
      <c r="M39" s="2950"/>
      <c r="N39" s="2950"/>
      <c r="O39" s="2950"/>
      <c r="P39" s="3293" t="str">
        <f>A39</f>
        <v>估价对象XX用房的比较价值（楼面单价，元/平方米）</v>
      </c>
      <c r="Q39" s="3294"/>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2548</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4"/>
      <c r="R49" s="2884"/>
      <c r="S49" s="2884"/>
      <c r="T49" s="2884"/>
      <c r="U49" s="2884"/>
      <c r="V49" s="2884"/>
      <c r="W49" s="2884"/>
      <c r="X49" s="2884"/>
      <c r="Y49" s="2884"/>
      <c r="Z49" s="2884"/>
      <c r="AA49" s="2884"/>
      <c r="AB49" s="2884"/>
      <c r="AC49" s="2884"/>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4"/>
      <c r="S50" s="2884"/>
      <c r="T50" s="2884"/>
      <c r="U50" s="2884"/>
      <c r="V50" s="2884"/>
      <c r="W50" s="2884"/>
      <c r="X50" s="2884"/>
      <c r="Y50" s="2884"/>
      <c r="Z50" s="2884"/>
      <c r="AA50" s="2884"/>
      <c r="AB50" s="2884"/>
      <c r="AC50" s="2884"/>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4"/>
      <c r="S52" s="2884"/>
      <c r="T52" s="2884"/>
      <c r="U52" s="2884"/>
      <c r="V52" s="2884"/>
      <c r="W52" s="2884"/>
      <c r="X52" s="2884"/>
      <c r="Y52" s="2884"/>
      <c r="Z52" s="2884"/>
      <c r="AA52" s="2884"/>
      <c r="AB52" s="2884"/>
      <c r="AC52" s="2884"/>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6" t="s">
        <v>2496</v>
      </c>
      <c r="D67" s="616" t="s">
        <v>2497</v>
      </c>
      <c r="E67" s="616" t="s">
        <v>2498</v>
      </c>
      <c r="F67" s="616" t="s">
        <v>2499</v>
      </c>
      <c r="G67" s="616" t="s">
        <v>2500</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9"/>
      <c r="O74" s="2979"/>
      <c r="P74" s="2987"/>
      <c r="Q74" s="2964"/>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9"/>
      <c r="O76" s="2979"/>
      <c r="P76" s="2987"/>
      <c r="Q76" s="2964"/>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SUMIF(46:46,YEAR(E7)&amp;"-"&amp;MONTH(E7),47:47)</f>
        <v>0</v>
      </c>
      <c r="G7" s="2159"/>
      <c r="H7" s="371">
        <f>SUMIF(46:46,YEAR(G7)&amp;"-"&amp;MONTH(G7),47:47)</f>
        <v>0</v>
      </c>
      <c r="I7" s="372"/>
      <c r="J7" s="371">
        <f>SUMIF(46:46,YEAR(I7)&amp;"-"&amp;MONTH(I7),47:47)</f>
        <v>0</v>
      </c>
      <c r="K7" s="568"/>
      <c r="L7" s="2942"/>
      <c r="M7" s="2943"/>
      <c r="N7" s="2943"/>
      <c r="O7" s="2943"/>
      <c r="P7" s="3328" t="s">
        <v>2370</v>
      </c>
      <c r="Q7" s="3330"/>
      <c r="R7" s="710" t="s">
        <v>17</v>
      </c>
      <c r="S7" s="711">
        <f t="shared" ref="S7:S14" si="0">F7</f>
        <v>0</v>
      </c>
      <c r="T7" s="710" t="s">
        <v>17</v>
      </c>
      <c r="U7" s="711">
        <f t="shared" ref="U7:U14" si="1">H7</f>
        <v>0</v>
      </c>
      <c r="V7" s="710" t="s">
        <v>17</v>
      </c>
      <c r="W7" s="711">
        <f t="shared" ref="W7:W14" si="2">J7</f>
        <v>0</v>
      </c>
      <c r="X7" s="712"/>
      <c r="Y7" s="3328" t="s">
        <v>2370</v>
      </c>
      <c r="Z7" s="332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99" t="s">
        <v>2376</v>
      </c>
      <c r="Q9" s="1526" t="str">
        <f t="shared" ref="Q9:Q14" si="6">B9</f>
        <v>用途</v>
      </c>
      <c r="R9" s="710" t="s">
        <v>17</v>
      </c>
      <c r="S9" s="711">
        <f t="shared" si="0"/>
        <v>100</v>
      </c>
      <c r="T9" s="710" t="s">
        <v>17</v>
      </c>
      <c r="U9" s="711">
        <f t="shared" si="1"/>
        <v>100</v>
      </c>
      <c r="V9" s="710" t="s">
        <v>17</v>
      </c>
      <c r="W9" s="711">
        <f t="shared" si="2"/>
        <v>100</v>
      </c>
      <c r="X9" s="712"/>
      <c r="Y9" s="319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99"/>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99"/>
      <c r="Q11" s="1526">
        <f t="shared" si="6"/>
        <v>111</v>
      </c>
      <c r="R11" s="710" t="s">
        <v>17</v>
      </c>
      <c r="S11" s="711">
        <f t="shared" si="0"/>
        <v>100</v>
      </c>
      <c r="T11" s="710" t="s">
        <v>17</v>
      </c>
      <c r="U11" s="711">
        <f t="shared" si="1"/>
        <v>100</v>
      </c>
      <c r="V11" s="710" t="s">
        <v>17</v>
      </c>
      <c r="W11" s="711">
        <f t="shared" si="2"/>
        <v>100</v>
      </c>
      <c r="X11" s="712"/>
      <c r="Y11" s="3193"/>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47"/>
      <c r="M13" s="2941"/>
      <c r="N13" s="2941"/>
      <c r="O13" s="2999"/>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
      <c r="A14" s="399" t="s">
        <v>2380</v>
      </c>
      <c r="B14" s="65" t="s">
        <v>2530</v>
      </c>
      <c r="C14" s="2156"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01" t="s">
        <v>2381</v>
      </c>
      <c r="Q14" s="1535" t="str">
        <f t="shared" si="6"/>
        <v>交通便捷度</v>
      </c>
      <c r="R14" s="714" t="s">
        <v>17</v>
      </c>
      <c r="S14" s="715">
        <f t="shared" si="0"/>
        <v>100</v>
      </c>
      <c r="T14" s="714" t="s">
        <v>17</v>
      </c>
      <c r="U14" s="715">
        <f t="shared" si="1"/>
        <v>100</v>
      </c>
      <c r="V14" s="714" t="s">
        <v>17</v>
      </c>
      <c r="W14" s="715">
        <f t="shared" si="2"/>
        <v>100</v>
      </c>
      <c r="X14" s="1538"/>
      <c r="Y14" s="3301"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7"/>
      <c r="M15" s="2941"/>
      <c r="N15" s="2941"/>
      <c r="O15" s="2999"/>
      <c r="P15" s="3302"/>
      <c r="Q15" s="1535"/>
      <c r="R15" s="714"/>
      <c r="S15" s="715"/>
      <c r="T15" s="714"/>
      <c r="U15" s="715"/>
      <c r="V15" s="714"/>
      <c r="W15" s="715"/>
      <c r="X15" s="1538"/>
      <c r="Y15" s="3302"/>
      <c r="Z15" s="1539"/>
      <c r="AA15" s="1536">
        <v>1</v>
      </c>
      <c r="AB15" s="1536">
        <v>1</v>
      </c>
      <c r="AC15" s="1536">
        <v>1</v>
      </c>
    </row>
    <row r="16" spans="1:29" ht="15">
      <c r="A16" s="387"/>
      <c r="B16" s="410" t="s">
        <v>2509</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02"/>
      <c r="Q16" s="1535" t="str">
        <f>B16</f>
        <v>公共配套设施</v>
      </c>
      <c r="R16" s="714" t="s">
        <v>17</v>
      </c>
      <c r="S16" s="715">
        <f>F16</f>
        <v>100</v>
      </c>
      <c r="T16" s="714" t="s">
        <v>17</v>
      </c>
      <c r="U16" s="715">
        <f>H16</f>
        <v>100</v>
      </c>
      <c r="V16" s="714" t="s">
        <v>17</v>
      </c>
      <c r="W16" s="715">
        <f>J16</f>
        <v>100</v>
      </c>
      <c r="X16" s="1538"/>
      <c r="Y16" s="3302"/>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47"/>
      <c r="M17" s="2941"/>
      <c r="N17" s="2941"/>
      <c r="O17" s="2999"/>
      <c r="P17" s="3302"/>
      <c r="Q17" s="1535"/>
      <c r="R17" s="714"/>
      <c r="S17" s="715"/>
      <c r="T17" s="714"/>
      <c r="U17" s="715"/>
      <c r="V17" s="714"/>
      <c r="W17" s="715"/>
      <c r="X17" s="1538"/>
      <c r="Y17" s="3302"/>
      <c r="Z17" s="1539"/>
      <c r="AA17" s="1536">
        <v>1</v>
      </c>
      <c r="AB17" s="1536">
        <v>1</v>
      </c>
      <c r="AC17" s="1536">
        <v>1</v>
      </c>
    </row>
    <row r="18" spans="1:29" ht="15">
      <c r="A18" s="387"/>
      <c r="B18" s="1293" t="s">
        <v>2510</v>
      </c>
      <c r="C18" s="208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02"/>
      <c r="Q18" s="1535" t="str">
        <f>B18</f>
        <v>基础设施水平</v>
      </c>
      <c r="R18" s="714" t="s">
        <v>17</v>
      </c>
      <c r="S18" s="715">
        <f>F18</f>
        <v>100</v>
      </c>
      <c r="T18" s="714" t="s">
        <v>17</v>
      </c>
      <c r="U18" s="715">
        <f>H18</f>
        <v>100</v>
      </c>
      <c r="V18" s="714" t="s">
        <v>17</v>
      </c>
      <c r="W18" s="715">
        <f>J18</f>
        <v>100</v>
      </c>
      <c r="X18" s="1538"/>
      <c r="Y18" s="3302"/>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47"/>
      <c r="M19" s="2941"/>
      <c r="N19" s="2941"/>
      <c r="O19" s="2999"/>
      <c r="P19" s="3302"/>
      <c r="Q19" s="1535"/>
      <c r="R19" s="714"/>
      <c r="S19" s="715"/>
      <c r="T19" s="714"/>
      <c r="U19" s="715"/>
      <c r="V19" s="714"/>
      <c r="W19" s="715"/>
      <c r="X19" s="1538"/>
      <c r="Y19" s="3302"/>
      <c r="Z19" s="1539"/>
      <c r="AA19" s="1536">
        <v>1</v>
      </c>
      <c r="AB19" s="1536">
        <v>1</v>
      </c>
      <c r="AC19" s="1536">
        <v>1</v>
      </c>
    </row>
    <row r="20" spans="1:29" ht="15">
      <c r="A20" s="387"/>
      <c r="B20" s="410" t="s">
        <v>2531</v>
      </c>
      <c r="C20" s="2085"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02"/>
      <c r="Q20" s="1535" t="str">
        <f>B20</f>
        <v>自然及人文环境</v>
      </c>
      <c r="R20" s="714" t="s">
        <v>17</v>
      </c>
      <c r="S20" s="715">
        <f>F20</f>
        <v>100</v>
      </c>
      <c r="T20" s="714" t="s">
        <v>17</v>
      </c>
      <c r="U20" s="715">
        <f>H20</f>
        <v>100</v>
      </c>
      <c r="V20" s="714" t="s">
        <v>17</v>
      </c>
      <c r="W20" s="715">
        <f>J20</f>
        <v>100</v>
      </c>
      <c r="X20" s="1538"/>
      <c r="Y20" s="3302"/>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7"/>
      <c r="M21" s="2941"/>
      <c r="N21" s="2941"/>
      <c r="O21" s="2999"/>
      <c r="P21" s="3302"/>
      <c r="Q21" s="1535"/>
      <c r="R21" s="714"/>
      <c r="S21" s="715"/>
      <c r="T21" s="714"/>
      <c r="U21" s="715"/>
      <c r="V21" s="714"/>
      <c r="W21" s="715"/>
      <c r="X21" s="1538"/>
      <c r="Y21" s="3302"/>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02"/>
      <c r="Q22" s="1535" t="str">
        <f>B22</f>
        <v>楼层</v>
      </c>
      <c r="R22" s="714" t="s">
        <v>17</v>
      </c>
      <c r="S22" s="715">
        <f>F22</f>
        <v>100</v>
      </c>
      <c r="T22" s="714" t="s">
        <v>17</v>
      </c>
      <c r="U22" s="715">
        <f>H22</f>
        <v>100</v>
      </c>
      <c r="V22" s="714" t="s">
        <v>17</v>
      </c>
      <c r="W22" s="715">
        <f>J22</f>
        <v>100</v>
      </c>
      <c r="X22" s="1538"/>
      <c r="Y22" s="3302"/>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02"/>
      <c r="Q23" s="1535">
        <f>B23</f>
        <v>111</v>
      </c>
      <c r="R23" s="714" t="s">
        <v>17</v>
      </c>
      <c r="S23" s="715">
        <f>F23</f>
        <v>100</v>
      </c>
      <c r="T23" s="714" t="s">
        <v>17</v>
      </c>
      <c r="U23" s="715">
        <f>H23</f>
        <v>100</v>
      </c>
      <c r="V23" s="714" t="s">
        <v>17</v>
      </c>
      <c r="W23" s="715">
        <f>J23</f>
        <v>100</v>
      </c>
      <c r="X23" s="1538"/>
      <c r="Y23" s="3302"/>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02"/>
      <c r="Q24" s="1535">
        <f t="shared" ref="Q24:Q34" si="11">B24</f>
        <v>111</v>
      </c>
      <c r="R24" s="714" t="s">
        <v>17</v>
      </c>
      <c r="S24" s="715">
        <f>F24</f>
        <v>100</v>
      </c>
      <c r="T24" s="714" t="s">
        <v>17</v>
      </c>
      <c r="U24" s="715">
        <f>H24</f>
        <v>100</v>
      </c>
      <c r="V24" s="714" t="s">
        <v>17</v>
      </c>
      <c r="W24" s="715">
        <f>J24</f>
        <v>100</v>
      </c>
      <c r="X24" s="1538"/>
      <c r="Y24" s="3302"/>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2"/>
      <c r="M25" s="2943"/>
      <c r="N25" s="2943"/>
      <c r="O25" s="2997"/>
      <c r="P25" s="3302"/>
      <c r="Q25" s="1526">
        <f t="shared" si="11"/>
        <v>111</v>
      </c>
      <c r="R25" s="710" t="s">
        <v>17</v>
      </c>
      <c r="S25" s="711">
        <f>F25</f>
        <v>100</v>
      </c>
      <c r="T25" s="710" t="s">
        <v>17</v>
      </c>
      <c r="U25" s="711">
        <f>H25</f>
        <v>100</v>
      </c>
      <c r="V25" s="710" t="s">
        <v>17</v>
      </c>
      <c r="W25" s="711">
        <f>J25</f>
        <v>100</v>
      </c>
      <c r="X25" s="712"/>
      <c r="Y25" s="3302"/>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47"/>
      <c r="M26" s="2941"/>
      <c r="N26" s="2941"/>
      <c r="O26" s="2999"/>
      <c r="P26" s="3303"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04"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04"/>
      <c r="Q27" s="716" t="str">
        <f t="shared" si="11"/>
        <v>成新率</v>
      </c>
      <c r="R27" s="717" t="s">
        <v>17</v>
      </c>
      <c r="S27" s="718" t="e">
        <f t="shared" si="12"/>
        <v>#N/A</v>
      </c>
      <c r="T27" s="717" t="s">
        <v>17</v>
      </c>
      <c r="U27" s="718" t="e">
        <f t="shared" si="13"/>
        <v>#N/A</v>
      </c>
      <c r="V27" s="717" t="s">
        <v>17</v>
      </c>
      <c r="W27" s="718" t="e">
        <f t="shared" si="14"/>
        <v>#N/A</v>
      </c>
      <c r="X27" s="719"/>
      <c r="Y27" s="3304"/>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04"/>
      <c r="Q28" s="1535" t="str">
        <f t="shared" si="11"/>
        <v>物业等级</v>
      </c>
      <c r="R28" s="714" t="s">
        <v>17</v>
      </c>
      <c r="S28" s="715">
        <f t="shared" si="12"/>
        <v>100</v>
      </c>
      <c r="T28" s="714" t="s">
        <v>17</v>
      </c>
      <c r="U28" s="715">
        <f t="shared" si="13"/>
        <v>100</v>
      </c>
      <c r="V28" s="714" t="s">
        <v>17</v>
      </c>
      <c r="W28" s="715">
        <f t="shared" si="14"/>
        <v>100</v>
      </c>
      <c r="X28" s="1538"/>
      <c r="Y28" s="3304"/>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04"/>
      <c r="Q29" s="1535" t="str">
        <f t="shared" si="11"/>
        <v>有无电梯</v>
      </c>
      <c r="R29" s="714" t="s">
        <v>17</v>
      </c>
      <c r="S29" s="715">
        <f t="shared" si="12"/>
        <v>100</v>
      </c>
      <c r="T29" s="714" t="s">
        <v>17</v>
      </c>
      <c r="U29" s="715">
        <f t="shared" si="13"/>
        <v>100</v>
      </c>
      <c r="V29" s="714" t="s">
        <v>17</v>
      </c>
      <c r="W29" s="715">
        <f t="shared" si="14"/>
        <v>100</v>
      </c>
      <c r="X29" s="1538"/>
      <c r="Y29" s="3304"/>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04"/>
      <c r="Q30" s="1535" t="str">
        <f t="shared" si="11"/>
        <v>建筑面积</v>
      </c>
      <c r="R30" s="714" t="s">
        <v>17</v>
      </c>
      <c r="S30" s="715" t="e">
        <f t="shared" si="12"/>
        <v>#N/A</v>
      </c>
      <c r="T30" s="714" t="s">
        <v>17</v>
      </c>
      <c r="U30" s="715" t="e">
        <f t="shared" si="13"/>
        <v>#N/A</v>
      </c>
      <c r="V30" s="714" t="s">
        <v>17</v>
      </c>
      <c r="W30" s="715" t="e">
        <f t="shared" si="14"/>
        <v>#N/A</v>
      </c>
      <c r="X30" s="1538"/>
      <c r="Y30" s="3304"/>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04"/>
      <c r="Q31" s="1526" t="str">
        <f t="shared" si="11"/>
        <v>是否封闭</v>
      </c>
      <c r="R31" s="710" t="s">
        <v>17</v>
      </c>
      <c r="S31" s="711">
        <f t="shared" si="12"/>
        <v>100</v>
      </c>
      <c r="T31" s="710" t="s">
        <v>17</v>
      </c>
      <c r="U31" s="711">
        <f t="shared" si="13"/>
        <v>100</v>
      </c>
      <c r="V31" s="710" t="s">
        <v>17</v>
      </c>
      <c r="W31" s="711">
        <f t="shared" si="14"/>
        <v>100</v>
      </c>
      <c r="X31" s="712"/>
      <c r="Y31" s="330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04" t="s">
        <v>2386</v>
      </c>
      <c r="Q32" s="1535">
        <f t="shared" si="11"/>
        <v>111</v>
      </c>
      <c r="R32" s="714" t="s">
        <v>17</v>
      </c>
      <c r="S32" s="715">
        <f t="shared" si="12"/>
        <v>100</v>
      </c>
      <c r="T32" s="714" t="s">
        <v>17</v>
      </c>
      <c r="U32" s="715">
        <f t="shared" si="13"/>
        <v>100</v>
      </c>
      <c r="V32" s="714" t="s">
        <v>17</v>
      </c>
      <c r="W32" s="715">
        <f t="shared" si="14"/>
        <v>100</v>
      </c>
      <c r="X32" s="1538"/>
      <c r="Y32" s="3304"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04"/>
      <c r="Q33" s="1535">
        <f t="shared" si="11"/>
        <v>111</v>
      </c>
      <c r="R33" s="714" t="s">
        <v>17</v>
      </c>
      <c r="S33" s="715">
        <f t="shared" si="12"/>
        <v>100</v>
      </c>
      <c r="T33" s="714" t="s">
        <v>17</v>
      </c>
      <c r="U33" s="715">
        <f t="shared" si="13"/>
        <v>100</v>
      </c>
      <c r="V33" s="714" t="s">
        <v>17</v>
      </c>
      <c r="W33" s="715">
        <f t="shared" si="14"/>
        <v>100</v>
      </c>
      <c r="X33" s="1538"/>
      <c r="Y33" s="3304"/>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47"/>
      <c r="M34" s="2941"/>
      <c r="N34" s="2941"/>
      <c r="O34" s="2999"/>
      <c r="P34" s="3304"/>
      <c r="Q34" s="1535">
        <f t="shared" si="11"/>
        <v>111</v>
      </c>
      <c r="R34" s="714" t="s">
        <v>17</v>
      </c>
      <c r="S34" s="715">
        <f t="shared" si="12"/>
        <v>100</v>
      </c>
      <c r="T34" s="714" t="s">
        <v>17</v>
      </c>
      <c r="U34" s="715">
        <f t="shared" si="13"/>
        <v>100</v>
      </c>
      <c r="V34" s="714" t="s">
        <v>17</v>
      </c>
      <c r="W34" s="715">
        <f t="shared" si="14"/>
        <v>100</v>
      </c>
      <c r="X34" s="1538"/>
      <c r="Y34" s="3304"/>
      <c r="Z34" s="1539">
        <f t="shared" si="15"/>
        <v>111</v>
      </c>
      <c r="AA34" s="1536">
        <f t="shared" si="3"/>
        <v>1</v>
      </c>
      <c r="AB34" s="1536">
        <f t="shared" si="4"/>
        <v>1</v>
      </c>
      <c r="AC34" s="1536">
        <f t="shared" si="5"/>
        <v>1</v>
      </c>
    </row>
    <row r="35" spans="1:30" ht="15">
      <c r="A35" s="438" t="s">
        <v>2398</v>
      </c>
      <c r="B35" s="439"/>
      <c r="C35" s="1316" t="s">
        <v>1</v>
      </c>
      <c r="D35" s="1317"/>
      <c r="E35" s="1318"/>
      <c r="F35" s="1319"/>
      <c r="G35" s="1320"/>
      <c r="H35" s="1321"/>
      <c r="I35" s="1318"/>
      <c r="J35" s="1321"/>
      <c r="K35" s="723"/>
      <c r="L35" s="2949"/>
      <c r="M35" s="2950"/>
      <c r="N35" s="2941"/>
      <c r="O35" s="2950"/>
      <c r="P35" s="3299" t="str">
        <f>A35</f>
        <v>成交单价（元/平方米）</v>
      </c>
      <c r="Q35" s="3299"/>
      <c r="R35" s="3390">
        <f>E35</f>
        <v>0</v>
      </c>
      <c r="S35" s="3390"/>
      <c r="T35" s="3390">
        <f>G35</f>
        <v>0</v>
      </c>
      <c r="U35" s="3390"/>
      <c r="V35" s="3390">
        <f>I35</f>
        <v>0</v>
      </c>
      <c r="W35" s="3390"/>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49"/>
      <c r="M36" s="2950"/>
      <c r="N36" s="2941"/>
      <c r="O36" s="2950"/>
      <c r="P36" s="3299" t="str">
        <f>A36</f>
        <v>比较价值（元/平方米）</v>
      </c>
      <c r="Q36" s="329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9"/>
      <c r="M37" s="2950"/>
      <c r="N37" s="2950"/>
      <c r="O37" s="2950"/>
      <c r="P37" s="3293" t="str">
        <f>A37</f>
        <v>估价对象XX用房的比较价值（楼面单价，元/平方米）</v>
      </c>
      <c r="Q37" s="3294"/>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2495</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4"/>
      <c r="R47" s="2884"/>
      <c r="S47" s="2884"/>
      <c r="T47" s="2884"/>
      <c r="U47" s="2884"/>
      <c r="V47" s="2884"/>
      <c r="W47" s="2884"/>
      <c r="X47" s="2884"/>
      <c r="Y47" s="2884"/>
      <c r="Z47" s="2884"/>
      <c r="AA47" s="2884"/>
      <c r="AB47" s="2884"/>
      <c r="AC47" s="2884"/>
      <c r="AD47" s="2884"/>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4"/>
      <c r="S48" s="2884"/>
      <c r="T48" s="2884"/>
      <c r="U48" s="2884"/>
      <c r="V48" s="2884"/>
      <c r="W48" s="2884"/>
      <c r="X48" s="2884"/>
      <c r="Y48" s="2884"/>
      <c r="Z48" s="2884"/>
      <c r="AA48" s="2884"/>
      <c r="AB48" s="2884"/>
      <c r="AC48" s="2884"/>
      <c r="AD48" s="2884"/>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4"/>
      <c r="S50" s="2884"/>
      <c r="T50" s="2884"/>
      <c r="U50" s="2884"/>
      <c r="V50" s="2884"/>
      <c r="W50" s="2884"/>
      <c r="X50" s="2884"/>
      <c r="Y50" s="2884"/>
      <c r="Z50" s="2884"/>
      <c r="AA50" s="2884"/>
      <c r="AB50" s="2884"/>
      <c r="AC50" s="2884"/>
      <c r="AD50" s="2884"/>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6" t="s">
        <v>2496</v>
      </c>
      <c r="D65" s="616" t="s">
        <v>2497</v>
      </c>
      <c r="E65" s="616" t="s">
        <v>2498</v>
      </c>
      <c r="F65" s="616" t="s">
        <v>2499</v>
      </c>
      <c r="G65" s="616" t="s">
        <v>2500</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9"/>
      <c r="O74" s="2979"/>
      <c r="P74" s="3003"/>
      <c r="Q74" s="2964"/>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413" t="s">
        <v>2618</v>
      </c>
      <c r="D6" s="3414"/>
      <c r="E6" s="3415" t="s">
        <v>2618</v>
      </c>
      <c r="F6" s="3416"/>
      <c r="G6" s="3413" t="s">
        <v>2618</v>
      </c>
      <c r="H6" s="3414"/>
      <c r="I6" s="3413" t="s">
        <v>2618</v>
      </c>
      <c r="J6" s="3414"/>
      <c r="K6" s="567"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SUMIF(65:65,YEAR(E7)&amp;"-"&amp;INT((MONTH(E7)+2)/3),66:66)</f>
        <v>0</v>
      </c>
      <c r="G7" s="2159"/>
      <c r="H7" s="371">
        <f>SUMIF(65:65,YEAR(G7)&amp;"-"&amp;INT((MONTH(G7)+2)/3),66:66)</f>
        <v>0</v>
      </c>
      <c r="I7" s="2159"/>
      <c r="J7" s="371">
        <f>SUMIF(65:65,YEAR(I7)&amp;"-"&amp;INT((MONTH(I7)+2)/3),66:66)</f>
        <v>0</v>
      </c>
      <c r="K7" s="568"/>
      <c r="L7" s="2942"/>
      <c r="M7" s="2943"/>
      <c r="N7" s="2943"/>
      <c r="O7" s="2943"/>
      <c r="P7" s="3328"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2"/>
      <c r="M9" s="2943"/>
      <c r="N9" s="2943"/>
      <c r="O9" s="2997"/>
      <c r="P9" s="3299"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44"/>
      <c r="M10" s="2945"/>
      <c r="N10" s="2945"/>
      <c r="O10" s="2998"/>
      <c r="P10" s="3299"/>
      <c r="Q10" s="1526" t="str">
        <f t="shared" si="6"/>
        <v>土地使用年限（年）</v>
      </c>
      <c r="R10" s="710" t="s">
        <v>17</v>
      </c>
      <c r="S10" s="711">
        <f t="shared" si="0"/>
        <v>113</v>
      </c>
      <c r="T10" s="710" t="s">
        <v>17</v>
      </c>
      <c r="U10" s="711">
        <f t="shared" si="1"/>
        <v>113</v>
      </c>
      <c r="V10" s="710" t="s">
        <v>17</v>
      </c>
      <c r="W10" s="711">
        <f t="shared" si="2"/>
        <v>113</v>
      </c>
      <c r="X10" s="712"/>
      <c r="Y10" s="3193"/>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299"/>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299"/>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01" t="s">
        <v>2381</v>
      </c>
      <c r="Q15" s="1535" t="str">
        <f t="shared" si="6"/>
        <v>产业集聚程度</v>
      </c>
      <c r="R15" s="714" t="s">
        <v>17</v>
      </c>
      <c r="S15" s="715">
        <f t="shared" si="0"/>
        <v>100</v>
      </c>
      <c r="T15" s="714" t="s">
        <v>17</v>
      </c>
      <c r="U15" s="715">
        <f t="shared" si="1"/>
        <v>100</v>
      </c>
      <c r="V15" s="714" t="s">
        <v>17</v>
      </c>
      <c r="W15" s="715">
        <f t="shared" si="2"/>
        <v>100</v>
      </c>
      <c r="X15" s="1538"/>
      <c r="Y15" s="3301"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47"/>
      <c r="M16" s="2941"/>
      <c r="N16" s="2941"/>
      <c r="O16" s="2999"/>
      <c r="P16" s="3302"/>
      <c r="Q16" s="1535"/>
      <c r="R16" s="714"/>
      <c r="S16" s="715"/>
      <c r="T16" s="714"/>
      <c r="U16" s="715"/>
      <c r="V16" s="714"/>
      <c r="W16" s="715"/>
      <c r="X16" s="1538"/>
      <c r="Y16" s="3302"/>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02"/>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47"/>
      <c r="M18" s="2941"/>
      <c r="N18" s="2941"/>
      <c r="O18" s="2999"/>
      <c r="P18" s="3302"/>
      <c r="Q18" s="1535"/>
      <c r="R18" s="714"/>
      <c r="S18" s="715"/>
      <c r="T18" s="714"/>
      <c r="U18" s="715"/>
      <c r="V18" s="714"/>
      <c r="W18" s="715"/>
      <c r="X18" s="1538"/>
      <c r="Y18" s="3302"/>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02"/>
      <c r="Q19" s="1535" t="str">
        <f t="shared" ref="Q19:Q33" si="8">B19</f>
        <v>区域土地利用方向</v>
      </c>
      <c r="R19" s="714" t="s">
        <v>17</v>
      </c>
      <c r="S19" s="715">
        <f>F19</f>
        <v>100</v>
      </c>
      <c r="T19" s="714" t="s">
        <v>17</v>
      </c>
      <c r="U19" s="715">
        <f>H19</f>
        <v>100</v>
      </c>
      <c r="V19" s="714" t="s">
        <v>17</v>
      </c>
      <c r="W19" s="715">
        <f>J19</f>
        <v>100</v>
      </c>
      <c r="X19" s="1538"/>
      <c r="Y19" s="3302"/>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47"/>
      <c r="M20" s="2941"/>
      <c r="N20" s="2941"/>
      <c r="O20" s="2999"/>
      <c r="P20" s="3302"/>
      <c r="Q20" s="1535"/>
      <c r="R20" s="714"/>
      <c r="S20" s="715"/>
      <c r="T20" s="714"/>
      <c r="U20" s="715"/>
      <c r="V20" s="714"/>
      <c r="W20" s="715"/>
      <c r="X20" s="1538"/>
      <c r="Y20" s="3302"/>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02"/>
      <c r="Q21" s="1535" t="str">
        <f t="shared" si="8"/>
        <v>环境状况</v>
      </c>
      <c r="R21" s="714" t="s">
        <v>17</v>
      </c>
      <c r="S21" s="715">
        <f>F21</f>
        <v>100</v>
      </c>
      <c r="T21" s="714" t="s">
        <v>17</v>
      </c>
      <c r="U21" s="715">
        <f>H21</f>
        <v>100</v>
      </c>
      <c r="V21" s="714" t="s">
        <v>17</v>
      </c>
      <c r="W21" s="715">
        <f>J21</f>
        <v>100</v>
      </c>
      <c r="X21" s="1538"/>
      <c r="Y21" s="3302"/>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47"/>
      <c r="M22" s="2941"/>
      <c r="N22" s="2941"/>
      <c r="O22" s="2999"/>
      <c r="P22" s="3302"/>
      <c r="Q22" s="1535"/>
      <c r="R22" s="714"/>
      <c r="S22" s="715"/>
      <c r="T22" s="714"/>
      <c r="U22" s="715"/>
      <c r="V22" s="714"/>
      <c r="W22" s="715"/>
      <c r="X22" s="1538"/>
      <c r="Y22" s="3302"/>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02"/>
      <c r="Q23" s="1526" t="str">
        <f t="shared" si="8"/>
        <v>公共配套设施</v>
      </c>
      <c r="R23" s="710" t="s">
        <v>17</v>
      </c>
      <c r="S23" s="711">
        <f>F23</f>
        <v>100</v>
      </c>
      <c r="T23" s="710" t="s">
        <v>17</v>
      </c>
      <c r="U23" s="711">
        <f>H23</f>
        <v>100</v>
      </c>
      <c r="V23" s="710" t="s">
        <v>17</v>
      </c>
      <c r="W23" s="711">
        <f>J23</f>
        <v>100</v>
      </c>
      <c r="X23" s="712"/>
      <c r="Y23" s="3302"/>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2"/>
      <c r="M24" s="2943"/>
      <c r="N24" s="2943"/>
      <c r="O24" s="2997"/>
      <c r="P24" s="3302"/>
      <c r="Q24" s="1526"/>
      <c r="R24" s="710"/>
      <c r="S24" s="711"/>
      <c r="T24" s="710"/>
      <c r="U24" s="711"/>
      <c r="V24" s="710"/>
      <c r="W24" s="711"/>
      <c r="X24" s="712"/>
      <c r="Y24" s="3302"/>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02"/>
      <c r="Q25" s="1526" t="str">
        <f t="shared" ref="Q25" si="9">B25</f>
        <v>基础设施水平</v>
      </c>
      <c r="R25" s="710" t="s">
        <v>17</v>
      </c>
      <c r="S25" s="711">
        <f>F25</f>
        <v>100</v>
      </c>
      <c r="T25" s="710" t="s">
        <v>17</v>
      </c>
      <c r="U25" s="711">
        <f>H25</f>
        <v>100</v>
      </c>
      <c r="V25" s="710" t="s">
        <v>17</v>
      </c>
      <c r="W25" s="711">
        <f>J25</f>
        <v>100</v>
      </c>
      <c r="X25" s="712"/>
      <c r="Y25" s="3302"/>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2"/>
      <c r="M26" s="2943"/>
      <c r="N26" s="2943"/>
      <c r="O26" s="2997"/>
      <c r="P26" s="3302"/>
      <c r="Q26" s="1526"/>
      <c r="R26" s="710"/>
      <c r="S26" s="711"/>
      <c r="T26" s="710"/>
      <c r="U26" s="711"/>
      <c r="V26" s="710"/>
      <c r="W26" s="711"/>
      <c r="X26" s="712"/>
      <c r="Y26" s="330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02"/>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02"/>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02"/>
      <c r="Q28" s="1535" t="str">
        <f t="shared" si="8"/>
        <v>毗邻道路的类型与等级</v>
      </c>
      <c r="R28" s="714" t="s">
        <v>17</v>
      </c>
      <c r="S28" s="715">
        <f t="shared" si="10"/>
        <v>100</v>
      </c>
      <c r="T28" s="714" t="s">
        <v>17</v>
      </c>
      <c r="U28" s="715">
        <f t="shared" si="11"/>
        <v>100</v>
      </c>
      <c r="V28" s="714" t="s">
        <v>17</v>
      </c>
      <c r="W28" s="715">
        <f t="shared" si="12"/>
        <v>100</v>
      </c>
      <c r="X28" s="1538"/>
      <c r="Y28" s="3302"/>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47"/>
      <c r="M29" s="2941"/>
      <c r="N29" s="2941"/>
      <c r="O29" s="2999"/>
      <c r="P29" s="3302"/>
      <c r="Q29" s="1535"/>
      <c r="R29" s="714"/>
      <c r="S29" s="715"/>
      <c r="T29" s="714"/>
      <c r="U29" s="715"/>
      <c r="V29" s="714"/>
      <c r="W29" s="715"/>
      <c r="X29" s="1538"/>
      <c r="Y29" s="3302"/>
      <c r="Z29" s="1539"/>
      <c r="AA29" s="1536">
        <v>1</v>
      </c>
      <c r="AB29" s="1536">
        <v>1</v>
      </c>
      <c r="AC29" s="1536">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02"/>
      <c r="Q30" s="1535" t="str">
        <f t="shared" si="8"/>
        <v>土地级别</v>
      </c>
      <c r="R30" s="714" t="s">
        <v>17</v>
      </c>
      <c r="S30" s="715">
        <f t="shared" si="10"/>
        <v>100</v>
      </c>
      <c r="T30" s="714" t="s">
        <v>17</v>
      </c>
      <c r="U30" s="715">
        <f t="shared" si="11"/>
        <v>100</v>
      </c>
      <c r="V30" s="714" t="s">
        <v>17</v>
      </c>
      <c r="W30" s="715">
        <f t="shared" si="12"/>
        <v>100</v>
      </c>
      <c r="X30" s="1538"/>
      <c r="Y30" s="3302"/>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02"/>
      <c r="Q31" s="1535">
        <f t="shared" si="8"/>
        <v>111</v>
      </c>
      <c r="R31" s="714" t="s">
        <v>17</v>
      </c>
      <c r="S31" s="715">
        <f t="shared" si="10"/>
        <v>100</v>
      </c>
      <c r="T31" s="714" t="s">
        <v>17</v>
      </c>
      <c r="U31" s="715">
        <f t="shared" si="11"/>
        <v>100</v>
      </c>
      <c r="V31" s="714" t="s">
        <v>17</v>
      </c>
      <c r="W31" s="715">
        <f t="shared" si="12"/>
        <v>100</v>
      </c>
      <c r="X31" s="1538"/>
      <c r="Y31" s="3302"/>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03" t="s">
        <v>2386</v>
      </c>
      <c r="Q32" s="1535">
        <f t="shared" si="8"/>
        <v>111</v>
      </c>
      <c r="R32" s="714" t="s">
        <v>17</v>
      </c>
      <c r="S32" s="715">
        <f t="shared" si="10"/>
        <v>100</v>
      </c>
      <c r="T32" s="714" t="s">
        <v>17</v>
      </c>
      <c r="U32" s="715">
        <f t="shared" si="11"/>
        <v>100</v>
      </c>
      <c r="V32" s="714" t="s">
        <v>17</v>
      </c>
      <c r="W32" s="715">
        <f t="shared" si="12"/>
        <v>100</v>
      </c>
      <c r="X32" s="1538"/>
      <c r="Y32" s="3304"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04"/>
      <c r="Q33" s="1535">
        <f t="shared" si="8"/>
        <v>111</v>
      </c>
      <c r="R33" s="717" t="s">
        <v>17</v>
      </c>
      <c r="S33" s="718">
        <f t="shared" si="10"/>
        <v>100</v>
      </c>
      <c r="T33" s="717" t="s">
        <v>17</v>
      </c>
      <c r="U33" s="718">
        <f t="shared" si="11"/>
        <v>100</v>
      </c>
      <c r="V33" s="717" t="s">
        <v>17</v>
      </c>
      <c r="W33" s="718">
        <f t="shared" si="12"/>
        <v>100</v>
      </c>
      <c r="X33" s="719"/>
      <c r="Y33" s="3304"/>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04"/>
      <c r="Q34" s="1535" t="str">
        <f>B34</f>
        <v>宗地面积</v>
      </c>
      <c r="R34" s="714" t="s">
        <v>17</v>
      </c>
      <c r="S34" s="715" t="e">
        <f t="shared" si="10"/>
        <v>#N/A</v>
      </c>
      <c r="T34" s="714" t="s">
        <v>17</v>
      </c>
      <c r="U34" s="715" t="e">
        <f t="shared" si="11"/>
        <v>#N/A</v>
      </c>
      <c r="V34" s="714" t="s">
        <v>17</v>
      </c>
      <c r="W34" s="715" t="e">
        <f t="shared" si="12"/>
        <v>#N/A</v>
      </c>
      <c r="X34" s="1538"/>
      <c r="Y34" s="3304"/>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7"/>
      <c r="M35" s="2941"/>
      <c r="N35" s="2941"/>
      <c r="O35" s="2999"/>
      <c r="P35" s="3304"/>
      <c r="Q35" s="1535" t="str">
        <f t="shared" ref="Q35:Q40" si="14">B35</f>
        <v>宗地形状</v>
      </c>
      <c r="R35" s="714" t="s">
        <v>17</v>
      </c>
      <c r="S35" s="715">
        <f t="shared" si="10"/>
        <v>100</v>
      </c>
      <c r="T35" s="714" t="s">
        <v>17</v>
      </c>
      <c r="U35" s="715">
        <f t="shared" si="11"/>
        <v>100</v>
      </c>
      <c r="V35" s="714" t="s">
        <v>17</v>
      </c>
      <c r="W35" s="715">
        <f t="shared" si="12"/>
        <v>100</v>
      </c>
      <c r="X35" s="1538"/>
      <c r="Y35" s="3304"/>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2"/>
      <c r="M36" s="2943"/>
      <c r="N36" s="2943"/>
      <c r="O36" s="2997"/>
      <c r="P36" s="3304"/>
      <c r="Q36" s="1535" t="str">
        <f t="shared" si="14"/>
        <v>宗地开发程度</v>
      </c>
      <c r="R36" s="710" t="s">
        <v>17</v>
      </c>
      <c r="S36" s="711">
        <f t="shared" si="10"/>
        <v>100</v>
      </c>
      <c r="T36" s="710" t="s">
        <v>17</v>
      </c>
      <c r="U36" s="711">
        <f t="shared" si="11"/>
        <v>100</v>
      </c>
      <c r="V36" s="710" t="s">
        <v>17</v>
      </c>
      <c r="W36" s="711">
        <f t="shared" si="12"/>
        <v>100</v>
      </c>
      <c r="X36" s="712"/>
      <c r="Y36" s="3304"/>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7"/>
      <c r="M37" s="2941"/>
      <c r="N37" s="2941"/>
      <c r="O37" s="2999"/>
      <c r="P37" s="3304" t="s">
        <v>2386</v>
      </c>
      <c r="Q37" s="1535" t="str">
        <f t="shared" si="14"/>
        <v>工程地质条件</v>
      </c>
      <c r="R37" s="714" t="s">
        <v>17</v>
      </c>
      <c r="S37" s="715">
        <f t="shared" si="10"/>
        <v>100</v>
      </c>
      <c r="T37" s="714" t="s">
        <v>17</v>
      </c>
      <c r="U37" s="715">
        <f t="shared" si="11"/>
        <v>100</v>
      </c>
      <c r="V37" s="714" t="s">
        <v>17</v>
      </c>
      <c r="W37" s="715">
        <f t="shared" si="12"/>
        <v>100</v>
      </c>
      <c r="X37" s="1538"/>
      <c r="Y37" s="3304" t="s">
        <v>2386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04"/>
      <c r="Q38" s="1535">
        <f t="shared" si="14"/>
        <v>111</v>
      </c>
      <c r="R38" s="714" t="s">
        <v>17</v>
      </c>
      <c r="S38" s="715">
        <f t="shared" si="10"/>
        <v>100</v>
      </c>
      <c r="T38" s="714" t="s">
        <v>17</v>
      </c>
      <c r="U38" s="715">
        <f t="shared" si="11"/>
        <v>100</v>
      </c>
      <c r="V38" s="714" t="s">
        <v>17</v>
      </c>
      <c r="W38" s="715">
        <f t="shared" si="12"/>
        <v>100</v>
      </c>
      <c r="X38" s="1538"/>
      <c r="Y38" s="3304"/>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04"/>
      <c r="Q39" s="1535">
        <f t="shared" si="14"/>
        <v>111</v>
      </c>
      <c r="R39" s="714" t="s">
        <v>17</v>
      </c>
      <c r="S39" s="715">
        <f t="shared" si="10"/>
        <v>100</v>
      </c>
      <c r="T39" s="714" t="s">
        <v>17</v>
      </c>
      <c r="U39" s="715">
        <f t="shared" si="11"/>
        <v>100</v>
      </c>
      <c r="V39" s="714" t="s">
        <v>17</v>
      </c>
      <c r="W39" s="715">
        <f t="shared" si="12"/>
        <v>100</v>
      </c>
      <c r="X39" s="1538"/>
      <c r="Y39" s="3304"/>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04"/>
      <c r="Q40" s="1535">
        <f t="shared" si="14"/>
        <v>111</v>
      </c>
      <c r="R40" s="717" t="s">
        <v>17</v>
      </c>
      <c r="S40" s="718">
        <f t="shared" si="10"/>
        <v>100</v>
      </c>
      <c r="T40" s="717" t="s">
        <v>17</v>
      </c>
      <c r="U40" s="718">
        <f t="shared" si="11"/>
        <v>100</v>
      </c>
      <c r="V40" s="717" t="s">
        <v>17</v>
      </c>
      <c r="W40" s="718">
        <f t="shared" si="12"/>
        <v>100</v>
      </c>
      <c r="X40" s="719"/>
      <c r="Y40" s="3304"/>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49"/>
      <c r="M41" s="2941"/>
      <c r="N41" s="2941"/>
      <c r="O41" s="2950"/>
      <c r="P41" s="3299" t="str">
        <f>A41</f>
        <v>成交单价</v>
      </c>
      <c r="Q41" s="3299"/>
      <c r="R41" s="3305">
        <f>E41</f>
        <v>0</v>
      </c>
      <c r="S41" s="3305"/>
      <c r="T41" s="3305">
        <f>G41</f>
        <v>0</v>
      </c>
      <c r="U41" s="3305"/>
      <c r="V41" s="3305">
        <f>I41</f>
        <v>0</v>
      </c>
      <c r="W41" s="3305"/>
      <c r="X41" s="699"/>
      <c r="Y41" s="721"/>
      <c r="Z41" s="699"/>
      <c r="AA41" s="699"/>
      <c r="AB41" s="699"/>
      <c r="AC41" s="699"/>
    </row>
    <row r="42" spans="1:31" ht="15.75" thickBot="1">
      <c r="A42" s="445" t="s">
        <v>2490</v>
      </c>
      <c r="B42" s="639"/>
      <c r="C42" s="448" t="e">
        <f>R43</f>
        <v>#DIV/0!</v>
      </c>
      <c r="D42" s="2537" t="s">
        <v>2879</v>
      </c>
      <c r="E42" s="448" t="e">
        <f>R42</f>
        <v>#DIV/0!</v>
      </c>
      <c r="F42" s="2538"/>
      <c r="G42" s="447" t="e">
        <f>T42</f>
        <v>#DIV/0!</v>
      </c>
      <c r="H42" s="2538"/>
      <c r="I42" s="448" t="e">
        <f>V42</f>
        <v>#DIV/0!</v>
      </c>
      <c r="J42" s="2538"/>
      <c r="K42" s="2540">
        <f>F42+H42+J42</f>
        <v>0</v>
      </c>
      <c r="L42" s="2949"/>
      <c r="M42" s="2941"/>
      <c r="N42" s="2941"/>
      <c r="O42" s="2950"/>
      <c r="P42" s="3299" t="str">
        <f>A42</f>
        <v>比较价值（元/平方米）</v>
      </c>
      <c r="Q42" s="3299"/>
      <c r="R42" s="3292" t="e">
        <f>ROUND(PRODUCT(R41,AA7:AA40),0)</f>
        <v>#DIV/0!</v>
      </c>
      <c r="S42" s="3292"/>
      <c r="T42" s="3292" t="e">
        <f>ROUND(PRODUCT(T41,AB7:AB40),0)</f>
        <v>#DIV/0!</v>
      </c>
      <c r="U42" s="3292"/>
      <c r="V42" s="3292" t="e">
        <f>ROUND(PRODUCT(V41,AC7:AC40),0)</f>
        <v>#DIV/0!</v>
      </c>
      <c r="W42" s="329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9"/>
      <c r="M43" s="2941"/>
      <c r="N43" s="2941"/>
      <c r="O43" s="2950"/>
      <c r="P43" s="3293" t="str">
        <f>A43</f>
        <v>估价对象XX用房的比较价值（楼面单价，元/平方米）</v>
      </c>
      <c r="Q43" s="3294"/>
      <c r="R43" s="3295" t="e">
        <f>ROUND(IF(D42="简单平均",AVERAGE(R42:W42),R42*F42+T42*H42+V42*J42),0)</f>
        <v>#DIV/0!</v>
      </c>
      <c r="S43" s="3295"/>
      <c r="T43" s="3295"/>
      <c r="U43" s="3295"/>
      <c r="V43" s="3295"/>
      <c r="W43" s="3295"/>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2579</v>
      </c>
      <c r="B50" s="641" t="s">
        <v>2580</v>
      </c>
      <c r="C50" s="2168" t="s">
        <v>2581</v>
      </c>
      <c r="D50" s="2169" t="s">
        <v>2582</v>
      </c>
      <c r="E50" s="642" t="s">
        <v>2583</v>
      </c>
      <c r="F50" s="643" t="s">
        <v>2584</v>
      </c>
      <c r="G50" s="3296" t="s">
        <v>2585</v>
      </c>
      <c r="H50" s="3297"/>
      <c r="I50" s="1539" t="s">
        <v>2622</v>
      </c>
      <c r="J50" s="1539">
        <f>项目基本情况!F35</f>
        <v>0</v>
      </c>
      <c r="K50" s="2171"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2588</v>
      </c>
      <c r="B51" s="645" t="e">
        <f>C43</f>
        <v>#DIV/0!</v>
      </c>
      <c r="C51" s="646">
        <v>1</v>
      </c>
      <c r="D51" s="1075">
        <v>1</v>
      </c>
      <c r="E51" s="646">
        <f>'数据-汇总表'!E8+'数据-汇总表'!E9</f>
        <v>32206.960000000006</v>
      </c>
      <c r="F51" s="647" t="e">
        <f t="shared" ref="F51:F60" si="15">ROUND(B51*E51/10000,0)</f>
        <v>#DIV/0!</v>
      </c>
      <c r="G51" s="3298"/>
      <c r="H51" s="3299"/>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2589</v>
      </c>
      <c r="B52" s="224" t="e">
        <f>ROUND($C$43*C52*D52,0)</f>
        <v>#DIV/0!</v>
      </c>
      <c r="C52" s="176">
        <f t="shared" ref="C52:C60" si="16">IF($C$50="北京市系数",I52,J52)</f>
        <v>0</v>
      </c>
      <c r="D52" s="1076">
        <v>0.25</v>
      </c>
      <c r="E52" s="650"/>
      <c r="F52" s="647" t="e">
        <f t="shared" si="15"/>
        <v>#DIV/0!</v>
      </c>
      <c r="G52" s="3300" t="s">
        <v>2590</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2591</v>
      </c>
      <c r="B53" s="224" t="e">
        <f t="shared" ref="B53:B60" si="17">ROUND($C$43*C53*D53,0)</f>
        <v>#DIV/0!</v>
      </c>
      <c r="C53" s="176">
        <f t="shared" si="16"/>
        <v>0</v>
      </c>
      <c r="D53" s="1076">
        <v>0.25</v>
      </c>
      <c r="E53" s="650"/>
      <c r="F53" s="647" t="e">
        <f t="shared" si="15"/>
        <v>#DIV/0!</v>
      </c>
      <c r="G53" s="3300"/>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2592</v>
      </c>
      <c r="B54" s="224" t="e">
        <f t="shared" si="17"/>
        <v>#DIV/0!</v>
      </c>
      <c r="C54" s="176">
        <f t="shared" si="16"/>
        <v>0</v>
      </c>
      <c r="D54" s="1076">
        <v>0.25</v>
      </c>
      <c r="E54" s="650"/>
      <c r="F54" s="647" t="e">
        <f t="shared" si="15"/>
        <v>#DIV/0!</v>
      </c>
      <c r="G54" s="3300"/>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2593</v>
      </c>
      <c r="B55" s="224" t="e">
        <f t="shared" si="17"/>
        <v>#DIV/0!</v>
      </c>
      <c r="C55" s="176">
        <f t="shared" si="16"/>
        <v>0</v>
      </c>
      <c r="D55" s="1076">
        <v>0.25</v>
      </c>
      <c r="E55" s="650"/>
      <c r="F55" s="647" t="e">
        <f t="shared" si="15"/>
        <v>#DIV/0!</v>
      </c>
      <c r="G55" s="3300"/>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2594</v>
      </c>
      <c r="B56" s="224" t="e">
        <f t="shared" si="17"/>
        <v>#DIV/0!</v>
      </c>
      <c r="C56" s="176">
        <f t="shared" si="16"/>
        <v>0.25</v>
      </c>
      <c r="D56" s="1076">
        <v>0.25</v>
      </c>
      <c r="E56" s="223">
        <f>'数据-汇总表'!E11</f>
        <v>0</v>
      </c>
      <c r="F56" s="647" t="e">
        <f t="shared" si="15"/>
        <v>#DIV/0!</v>
      </c>
      <c r="G56" s="2172" t="s">
        <v>2595</v>
      </c>
      <c r="H56" s="1018" t="str">
        <f>项目基本情况!C37</f>
        <v>七级</v>
      </c>
      <c r="I56" s="879">
        <f>SUMIF(修正!A45:A56,H56,修正!F45:F56)</f>
        <v>0.25</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七级</v>
      </c>
      <c r="I57" s="879">
        <f>SUMIF(修正!A45:A56,H57,修正!G45:G56)</f>
        <v>0.25</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2600</v>
      </c>
      <c r="B59" s="224" t="e">
        <f t="shared" si="17"/>
        <v>#DIV/0!</v>
      </c>
      <c r="C59" s="176">
        <f t="shared" si="16"/>
        <v>0</v>
      </c>
      <c r="D59" s="1076">
        <v>0.25</v>
      </c>
      <c r="E59" s="223">
        <f>'数据-汇总表'!E14</f>
        <v>0</v>
      </c>
      <c r="F59" s="647" t="e">
        <f t="shared" si="15"/>
        <v>#DIV/0!</v>
      </c>
      <c r="G59" s="2172" t="s">
        <v>2590</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2601</v>
      </c>
      <c r="B60" s="224" t="e">
        <f t="shared" si="17"/>
        <v>#DIV/0!</v>
      </c>
      <c r="C60" s="176">
        <f t="shared" si="16"/>
        <v>0.2</v>
      </c>
      <c r="D60" s="1076">
        <v>0.25</v>
      </c>
      <c r="E60" s="223">
        <f>'数据-汇总表'!E15</f>
        <v>7219.03</v>
      </c>
      <c r="F60" s="647" t="e">
        <f t="shared" si="15"/>
        <v>#DIV/0!</v>
      </c>
      <c r="G60" s="2173" t="s">
        <v>2595</v>
      </c>
      <c r="H60" s="1028" t="str">
        <f>项目基本情况!C37</f>
        <v>七级</v>
      </c>
      <c r="I60" s="879">
        <f>SUMIF(修正!A45:A56,H60,修正!H45:H56)</f>
        <v>0.2</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2602</v>
      </c>
      <c r="B61" s="652" t="s">
        <v>28</v>
      </c>
      <c r="C61" s="652" t="s">
        <v>29</v>
      </c>
      <c r="D61" s="652" t="s">
        <v>997</v>
      </c>
      <c r="E61" s="652">
        <f>IF(B41="楼面地价",SUM(E51:E60),'数据-汇总表'!D3)</f>
        <v>6294.36</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0"/>
      <c r="Q63" s="2950"/>
      <c r="R63" s="2950"/>
      <c r="S63" s="2950"/>
      <c r="T63" s="2950"/>
      <c r="U63" s="2950"/>
      <c r="V63" s="2950"/>
      <c r="W63" s="2950"/>
      <c r="X63" s="2950"/>
      <c r="Y63" s="2950"/>
      <c r="Z63" s="2950"/>
      <c r="AA63" s="2950"/>
      <c r="AB63" s="2950"/>
      <c r="AC63" s="2950"/>
      <c r="AD63" s="2950"/>
      <c r="AE63" s="2950"/>
    </row>
    <row r="64" spans="1:31" ht="21.75" thickBot="1">
      <c r="A64" s="703" t="s">
        <v>2495</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4" t="s">
        <v>2603</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9"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1"/>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4"/>
      <c r="S67" s="2884"/>
      <c r="T67" s="2884"/>
      <c r="U67" s="2884"/>
      <c r="V67" s="2884"/>
      <c r="W67" s="2884"/>
      <c r="X67" s="2884"/>
      <c r="Y67" s="2884"/>
      <c r="Z67" s="2884"/>
      <c r="AA67" s="2884"/>
      <c r="AB67" s="2884"/>
      <c r="AC67" s="2884"/>
      <c r="AD67" s="2884"/>
      <c r="AE67" s="2884"/>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4"/>
      <c r="S69" s="2884"/>
      <c r="T69" s="2884"/>
      <c r="U69" s="2884"/>
      <c r="V69" s="2884"/>
      <c r="W69" s="2884"/>
      <c r="X69" s="2884"/>
      <c r="Y69" s="2884"/>
      <c r="Z69" s="2884"/>
      <c r="AA69" s="2884"/>
      <c r="AB69" s="2884"/>
      <c r="AC69" s="2884"/>
      <c r="AD69" s="2884"/>
      <c r="AE69" s="2884"/>
    </row>
    <row r="70" spans="1:31">
      <c r="A70" s="484" t="s">
        <v>2409</v>
      </c>
      <c r="B70" s="485" t="s">
        <v>2375</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4"/>
      <c r="S90" s="2884"/>
      <c r="T90" s="2884"/>
      <c r="U90" s="2884"/>
      <c r="V90" s="2884"/>
      <c r="W90" s="2884"/>
      <c r="X90" s="2884"/>
      <c r="Y90" s="2884"/>
      <c r="Z90" s="2884"/>
      <c r="AA90" s="2884"/>
      <c r="AB90" s="2884"/>
      <c r="AC90" s="2884"/>
      <c r="AD90" s="2884"/>
      <c r="AE90" s="2884"/>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2613</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2615</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2616</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7" t="s">
        <v>183</v>
      </c>
      <c r="B18" s="821" t="s">
        <v>560</v>
      </c>
      <c r="C18" s="822" t="s">
        <v>561</v>
      </c>
      <c r="D18" s="823"/>
      <c r="E18" s="821">
        <v>1</v>
      </c>
      <c r="F18" s="824" t="s">
        <v>562</v>
      </c>
      <c r="G18" s="825"/>
      <c r="H18" s="817"/>
      <c r="I18" s="817"/>
    </row>
    <row r="19" spans="1:9" s="826" customFormat="1" ht="19.5" customHeight="1">
      <c r="A19" s="3417"/>
      <c r="B19" s="3417" t="s">
        <v>563</v>
      </c>
      <c r="C19" s="822" t="s">
        <v>564</v>
      </c>
      <c r="D19" s="823"/>
      <c r="E19" s="821">
        <v>0.9</v>
      </c>
      <c r="F19" s="824" t="s">
        <v>565</v>
      </c>
      <c r="G19" s="825"/>
      <c r="H19" s="817"/>
      <c r="I19" s="817"/>
    </row>
    <row r="20" spans="1:9" s="826" customFormat="1" ht="19.5" customHeight="1">
      <c r="A20" s="3417"/>
      <c r="B20" s="3417"/>
      <c r="C20" s="822" t="s">
        <v>566</v>
      </c>
      <c r="D20" s="823"/>
      <c r="E20" s="821">
        <v>1.1000000000000001</v>
      </c>
      <c r="F20" s="824" t="s">
        <v>567</v>
      </c>
      <c r="G20" s="825"/>
      <c r="H20" s="817"/>
      <c r="I20" s="817"/>
    </row>
    <row r="21" spans="1:9" s="826" customFormat="1" ht="19.5" customHeight="1">
      <c r="A21" s="3417"/>
      <c r="B21" s="3417"/>
      <c r="C21" s="822" t="s">
        <v>568</v>
      </c>
      <c r="D21" s="823"/>
      <c r="E21" s="821">
        <v>0.8</v>
      </c>
      <c r="F21" s="824" t="s">
        <v>569</v>
      </c>
      <c r="G21" s="825"/>
      <c r="H21" s="817"/>
      <c r="I21" s="817"/>
    </row>
    <row r="22" spans="1:9" s="826" customFormat="1" ht="19.5" customHeight="1">
      <c r="A22" s="3417"/>
      <c r="B22" s="3417"/>
      <c r="C22" s="822" t="s">
        <v>570</v>
      </c>
      <c r="D22" s="823"/>
      <c r="E22" s="821">
        <v>0.5</v>
      </c>
      <c r="F22" s="824"/>
      <c r="G22" s="825"/>
      <c r="H22" s="817"/>
      <c r="I22" s="817"/>
    </row>
    <row r="23" spans="1:9" s="826" customFormat="1" ht="19.5" customHeight="1">
      <c r="A23" s="3417" t="s">
        <v>184</v>
      </c>
      <c r="B23" s="821" t="s">
        <v>560</v>
      </c>
      <c r="C23" s="822" t="s">
        <v>571</v>
      </c>
      <c r="D23" s="823"/>
      <c r="E23" s="821">
        <v>1</v>
      </c>
      <c r="F23" s="824" t="s">
        <v>572</v>
      </c>
      <c r="G23" s="825"/>
      <c r="H23" s="817"/>
      <c r="I23" s="817"/>
    </row>
    <row r="24" spans="1:9" s="826" customFormat="1" ht="19.5" customHeight="1">
      <c r="A24" s="3417"/>
      <c r="B24" s="3417" t="s">
        <v>563</v>
      </c>
      <c r="C24" s="822" t="s">
        <v>573</v>
      </c>
      <c r="D24" s="823"/>
      <c r="E24" s="821">
        <v>0.5</v>
      </c>
      <c r="F24" s="824"/>
      <c r="G24" s="825"/>
      <c r="H24" s="817"/>
      <c r="I24" s="817"/>
    </row>
    <row r="25" spans="1:9" s="826" customFormat="1" ht="19.5" customHeight="1">
      <c r="A25" s="3417"/>
      <c r="B25" s="3417"/>
      <c r="C25" s="822" t="s">
        <v>574</v>
      </c>
      <c r="D25" s="823"/>
      <c r="E25" s="821">
        <v>1.1000000000000001</v>
      </c>
      <c r="F25" s="824"/>
      <c r="G25" s="825"/>
      <c r="H25" s="817"/>
      <c r="I25" s="817"/>
    </row>
    <row r="26" spans="1:9" s="826" customFormat="1" ht="19.5" customHeight="1">
      <c r="A26" s="3417"/>
      <c r="B26" s="3417"/>
      <c r="C26" s="822" t="s">
        <v>575</v>
      </c>
      <c r="D26" s="823"/>
      <c r="E26" s="821">
        <v>1.1000000000000001</v>
      </c>
      <c r="F26" s="824"/>
      <c r="G26" s="825"/>
      <c r="H26" s="817"/>
      <c r="I26" s="817"/>
    </row>
    <row r="27" spans="1:9" s="826" customFormat="1" ht="19.5" customHeight="1">
      <c r="A27" s="3417"/>
      <c r="B27" s="3417"/>
      <c r="C27" s="822" t="s">
        <v>576</v>
      </c>
      <c r="D27" s="823"/>
      <c r="E27" s="821">
        <v>0.9</v>
      </c>
      <c r="F27" s="824" t="s">
        <v>577</v>
      </c>
      <c r="G27" s="825"/>
      <c r="H27" s="817"/>
      <c r="I27" s="817"/>
    </row>
    <row r="28" spans="1:9" s="826" customFormat="1" ht="19.5" customHeight="1">
      <c r="A28" s="3417"/>
      <c r="B28" s="3417"/>
      <c r="C28" s="822" t="s">
        <v>578</v>
      </c>
      <c r="D28" s="823"/>
      <c r="E28" s="821">
        <v>0.9</v>
      </c>
      <c r="F28" s="824" t="s">
        <v>579</v>
      </c>
      <c r="G28" s="825"/>
      <c r="H28" s="817"/>
      <c r="I28" s="817"/>
    </row>
    <row r="29" spans="1:9" s="826" customFormat="1" ht="19.5" customHeight="1">
      <c r="A29" s="3417"/>
      <c r="B29" s="3417"/>
      <c r="C29" s="822" t="s">
        <v>580</v>
      </c>
      <c r="D29" s="823"/>
      <c r="E29" s="821">
        <v>0.9</v>
      </c>
      <c r="F29" s="824" t="s">
        <v>581</v>
      </c>
      <c r="G29" s="825"/>
      <c r="H29" s="817"/>
      <c r="I29" s="817"/>
    </row>
    <row r="30" spans="1:9" s="826" customFormat="1" ht="19.5" customHeight="1">
      <c r="A30" s="3417"/>
      <c r="B30" s="3417"/>
      <c r="C30" s="822" t="s">
        <v>582</v>
      </c>
      <c r="D30" s="823"/>
      <c r="E30" s="821">
        <v>0.9</v>
      </c>
      <c r="F30" s="824" t="s">
        <v>583</v>
      </c>
      <c r="G30" s="825"/>
      <c r="H30" s="817"/>
      <c r="I30" s="817"/>
    </row>
    <row r="31" spans="1:9" s="826" customFormat="1" ht="19.5" customHeight="1">
      <c r="A31" s="3417"/>
      <c r="B31" s="3417"/>
      <c r="C31" s="822" t="s">
        <v>584</v>
      </c>
      <c r="D31" s="823"/>
      <c r="E31" s="821">
        <v>0.8</v>
      </c>
      <c r="F31" s="824" t="s">
        <v>585</v>
      </c>
      <c r="G31" s="825"/>
      <c r="H31" s="817"/>
      <c r="I31" s="817"/>
    </row>
    <row r="32" spans="1:9" s="826" customFormat="1" ht="19.5" customHeight="1">
      <c r="A32" s="3417"/>
      <c r="B32" s="3417"/>
      <c r="C32" s="822" t="s">
        <v>586</v>
      </c>
      <c r="D32" s="823"/>
      <c r="E32" s="821">
        <v>0.8</v>
      </c>
      <c r="F32" s="824" t="s">
        <v>587</v>
      </c>
      <c r="G32" s="825"/>
      <c r="H32" s="817"/>
      <c r="I32" s="817"/>
    </row>
    <row r="33" spans="1:9" s="826" customFormat="1" ht="19.5" customHeight="1">
      <c r="A33" s="3417" t="s">
        <v>185</v>
      </c>
      <c r="B33" s="821" t="s">
        <v>560</v>
      </c>
      <c r="C33" s="822" t="s">
        <v>588</v>
      </c>
      <c r="D33" s="823"/>
      <c r="E33" s="821">
        <v>1</v>
      </c>
      <c r="F33" s="824" t="s">
        <v>589</v>
      </c>
      <c r="G33" s="825"/>
      <c r="H33" s="817"/>
      <c r="I33" s="817"/>
    </row>
    <row r="34" spans="1:9" s="826" customFormat="1" ht="19.5" customHeight="1">
      <c r="A34" s="3417"/>
      <c r="B34" s="821" t="s">
        <v>563</v>
      </c>
      <c r="C34" s="822" t="s">
        <v>590</v>
      </c>
      <c r="D34" s="823"/>
      <c r="E34" s="821">
        <v>1.5</v>
      </c>
      <c r="F34" s="824" t="s">
        <v>591</v>
      </c>
      <c r="G34" s="825"/>
      <c r="H34" s="817"/>
      <c r="I34" s="817"/>
    </row>
    <row r="35" spans="1:9" s="826" customFormat="1" ht="19.5" customHeight="1">
      <c r="A35" s="3417" t="s">
        <v>186</v>
      </c>
      <c r="B35" s="821" t="s">
        <v>560</v>
      </c>
      <c r="C35" s="822" t="s">
        <v>592</v>
      </c>
      <c r="D35" s="823"/>
      <c r="E35" s="821">
        <v>1</v>
      </c>
      <c r="F35" s="824" t="s">
        <v>593</v>
      </c>
      <c r="G35" s="825"/>
      <c r="H35" s="817"/>
      <c r="I35" s="817"/>
    </row>
    <row r="36" spans="1:9" s="826" customFormat="1" ht="19.5" customHeight="1">
      <c r="A36" s="3417"/>
      <c r="B36" s="3417" t="s">
        <v>563</v>
      </c>
      <c r="C36" s="822" t="s">
        <v>594</v>
      </c>
      <c r="D36" s="823"/>
      <c r="E36" s="821">
        <v>1</v>
      </c>
      <c r="F36" s="824" t="s">
        <v>595</v>
      </c>
      <c r="G36" s="825"/>
      <c r="H36" s="817"/>
      <c r="I36" s="817"/>
    </row>
    <row r="37" spans="1:9" s="826" customFormat="1" ht="19.5" customHeight="1">
      <c r="A37" s="3417"/>
      <c r="B37" s="3417"/>
      <c r="C37" s="822" t="s">
        <v>596</v>
      </c>
      <c r="D37" s="823"/>
      <c r="E37" s="821">
        <v>1.5</v>
      </c>
      <c r="F37" s="824" t="s">
        <v>597</v>
      </c>
      <c r="G37" s="825"/>
      <c r="H37" s="817"/>
      <c r="I37" s="817"/>
    </row>
    <row r="38" spans="1:9" s="826" customFormat="1" ht="19.5" customHeight="1">
      <c r="A38" s="3417"/>
      <c r="B38" s="3417"/>
      <c r="C38" s="822" t="s">
        <v>598</v>
      </c>
      <c r="D38" s="823"/>
      <c r="E38" s="821">
        <v>1</v>
      </c>
      <c r="F38" s="824" t="s">
        <v>599</v>
      </c>
      <c r="G38" s="825"/>
      <c r="H38" s="817"/>
      <c r="I38" s="817"/>
    </row>
    <row r="39" spans="1:9" s="826" customFormat="1" ht="19.5" customHeight="1">
      <c r="A39" s="3417"/>
      <c r="B39" s="341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7" t="s">
        <v>614</v>
      </c>
      <c r="C61" s="757" t="s">
        <v>615</v>
      </c>
      <c r="D61" s="757" t="s">
        <v>616</v>
      </c>
      <c r="E61" s="834">
        <v>0.5</v>
      </c>
      <c r="F61" s="821">
        <v>80</v>
      </c>
    </row>
    <row r="62" spans="1:8" s="817" customFormat="1" ht="24">
      <c r="A62" s="821">
        <v>2</v>
      </c>
      <c r="B62" s="3417"/>
      <c r="C62" s="757" t="s">
        <v>617</v>
      </c>
      <c r="D62" s="757" t="s">
        <v>618</v>
      </c>
      <c r="E62" s="834">
        <v>0.5</v>
      </c>
      <c r="F62" s="821">
        <v>80</v>
      </c>
    </row>
    <row r="63" spans="1:8" s="817" customFormat="1" ht="36">
      <c r="A63" s="821">
        <v>3</v>
      </c>
      <c r="B63" s="3417"/>
      <c r="C63" s="757" t="s">
        <v>619</v>
      </c>
      <c r="D63" s="757" t="s">
        <v>620</v>
      </c>
      <c r="E63" s="834">
        <v>0.5</v>
      </c>
      <c r="F63" s="821">
        <v>80</v>
      </c>
    </row>
    <row r="64" spans="1:8" s="817" customFormat="1" ht="36">
      <c r="A64" s="821">
        <v>4</v>
      </c>
      <c r="B64" s="3417"/>
      <c r="C64" s="757" t="s">
        <v>621</v>
      </c>
      <c r="D64" s="757" t="s">
        <v>622</v>
      </c>
      <c r="E64" s="834">
        <v>0.4</v>
      </c>
      <c r="F64" s="821">
        <v>60</v>
      </c>
    </row>
    <row r="65" spans="1:6" s="817" customFormat="1" ht="36">
      <c r="A65" s="821">
        <v>5</v>
      </c>
      <c r="B65" s="3417"/>
      <c r="C65" s="757" t="s">
        <v>623</v>
      </c>
      <c r="D65" s="757" t="s">
        <v>624</v>
      </c>
      <c r="E65" s="834">
        <v>0.2</v>
      </c>
      <c r="F65" s="821">
        <v>30</v>
      </c>
    </row>
    <row r="66" spans="1:6" s="817" customFormat="1" ht="36">
      <c r="A66" s="821">
        <v>6</v>
      </c>
      <c r="B66" s="3417"/>
      <c r="C66" s="757" t="s">
        <v>625</v>
      </c>
      <c r="D66" s="757" t="s">
        <v>626</v>
      </c>
      <c r="E66" s="834">
        <v>0.3</v>
      </c>
      <c r="F66" s="821">
        <v>50</v>
      </c>
    </row>
    <row r="67" spans="1:6" s="817" customFormat="1" ht="36">
      <c r="A67" s="821">
        <v>7</v>
      </c>
      <c r="B67" s="3417"/>
      <c r="C67" s="757" t="s">
        <v>627</v>
      </c>
      <c r="D67" s="757" t="s">
        <v>628</v>
      </c>
      <c r="E67" s="834">
        <v>0.2</v>
      </c>
      <c r="F67" s="821">
        <v>30</v>
      </c>
    </row>
    <row r="68" spans="1:6" s="817" customFormat="1" ht="36">
      <c r="A68" s="821">
        <v>8</v>
      </c>
      <c r="B68" s="3417"/>
      <c r="C68" s="757" t="s">
        <v>629</v>
      </c>
      <c r="D68" s="757" t="s">
        <v>630</v>
      </c>
      <c r="E68" s="834">
        <v>0.2</v>
      </c>
      <c r="F68" s="821">
        <v>30</v>
      </c>
    </row>
    <row r="69" spans="1:6" s="817" customFormat="1" ht="36">
      <c r="A69" s="821">
        <v>9</v>
      </c>
      <c r="B69" s="3417"/>
      <c r="C69" s="757" t="s">
        <v>631</v>
      </c>
      <c r="D69" s="757" t="s">
        <v>632</v>
      </c>
      <c r="E69" s="834">
        <v>0.2</v>
      </c>
      <c r="F69" s="821">
        <v>30</v>
      </c>
    </row>
    <row r="70" spans="1:6" s="817" customFormat="1" ht="48">
      <c r="A70" s="821">
        <v>10</v>
      </c>
      <c r="B70" s="3417"/>
      <c r="C70" s="757" t="s">
        <v>633</v>
      </c>
      <c r="D70" s="757" t="s">
        <v>634</v>
      </c>
      <c r="E70" s="834">
        <v>0.2</v>
      </c>
      <c r="F70" s="821">
        <v>30</v>
      </c>
    </row>
    <row r="71" spans="1:6" s="817" customFormat="1" ht="48">
      <c r="A71" s="821">
        <v>11</v>
      </c>
      <c r="B71" s="3417"/>
      <c r="C71" s="757" t="s">
        <v>635</v>
      </c>
      <c r="D71" s="757" t="s">
        <v>636</v>
      </c>
      <c r="E71" s="834">
        <v>0.2</v>
      </c>
      <c r="F71" s="821">
        <v>30</v>
      </c>
    </row>
    <row r="72" spans="1:6" s="817" customFormat="1" ht="36">
      <c r="A72" s="821">
        <v>12</v>
      </c>
      <c r="B72" s="3417"/>
      <c r="C72" s="757" t="s">
        <v>637</v>
      </c>
      <c r="D72" s="757" t="s">
        <v>638</v>
      </c>
      <c r="E72" s="834">
        <v>0.5</v>
      </c>
      <c r="F72" s="821">
        <v>80</v>
      </c>
    </row>
    <row r="73" spans="1:6" s="817" customFormat="1" ht="24">
      <c r="A73" s="821">
        <v>13</v>
      </c>
      <c r="B73" s="3417"/>
      <c r="C73" s="757" t="s">
        <v>639</v>
      </c>
      <c r="D73" s="757" t="s">
        <v>640</v>
      </c>
      <c r="E73" s="834">
        <v>0.4</v>
      </c>
      <c r="F73" s="821">
        <v>60</v>
      </c>
    </row>
    <row r="74" spans="1:6" s="817" customFormat="1" ht="24">
      <c r="A74" s="821">
        <v>14</v>
      </c>
      <c r="B74" s="3417"/>
      <c r="C74" s="757" t="s">
        <v>641</v>
      </c>
      <c r="D74" s="757" t="s">
        <v>642</v>
      </c>
      <c r="E74" s="834">
        <v>0.2</v>
      </c>
      <c r="F74" s="821">
        <v>30</v>
      </c>
    </row>
    <row r="75" spans="1:6" s="817" customFormat="1" ht="24">
      <c r="A75" s="821">
        <v>15</v>
      </c>
      <c r="B75" s="3417"/>
      <c r="C75" s="757" t="s">
        <v>643</v>
      </c>
      <c r="D75" s="757" t="s">
        <v>644</v>
      </c>
      <c r="E75" s="834">
        <v>0.2</v>
      </c>
      <c r="F75" s="821">
        <v>30</v>
      </c>
    </row>
    <row r="76" spans="1:6" s="817" customFormat="1" ht="24">
      <c r="A76" s="821">
        <v>16</v>
      </c>
      <c r="B76" s="3417" t="s">
        <v>645</v>
      </c>
      <c r="C76" s="757" t="s">
        <v>646</v>
      </c>
      <c r="D76" s="757" t="s">
        <v>647</v>
      </c>
      <c r="E76" s="834">
        <v>0.5</v>
      </c>
      <c r="F76" s="821">
        <v>80</v>
      </c>
    </row>
    <row r="77" spans="1:6" s="817" customFormat="1" ht="24">
      <c r="A77" s="821">
        <v>17</v>
      </c>
      <c r="B77" s="3417"/>
      <c r="C77" s="757" t="s">
        <v>648</v>
      </c>
      <c r="D77" s="757" t="s">
        <v>649</v>
      </c>
      <c r="E77" s="834">
        <v>0.5</v>
      </c>
      <c r="F77" s="821">
        <v>80</v>
      </c>
    </row>
    <row r="78" spans="1:6" s="817" customFormat="1" ht="24">
      <c r="A78" s="821">
        <v>18</v>
      </c>
      <c r="B78" s="3417"/>
      <c r="C78" s="757" t="s">
        <v>650</v>
      </c>
      <c r="D78" s="757" t="s">
        <v>651</v>
      </c>
      <c r="E78" s="834">
        <v>0.2</v>
      </c>
      <c r="F78" s="821">
        <v>30</v>
      </c>
    </row>
    <row r="79" spans="1:6" s="817" customFormat="1" ht="24">
      <c r="A79" s="821">
        <v>19</v>
      </c>
      <c r="B79" s="3417"/>
      <c r="C79" s="757" t="s">
        <v>652</v>
      </c>
      <c r="D79" s="757" t="s">
        <v>653</v>
      </c>
      <c r="E79" s="834">
        <v>0.5</v>
      </c>
      <c r="F79" s="821">
        <v>80</v>
      </c>
    </row>
    <row r="80" spans="1:6" s="817" customFormat="1" ht="36">
      <c r="A80" s="821">
        <v>20</v>
      </c>
      <c r="B80" s="3417"/>
      <c r="C80" s="757" t="s">
        <v>654</v>
      </c>
      <c r="D80" s="757" t="s">
        <v>655</v>
      </c>
      <c r="E80" s="834">
        <v>0.2</v>
      </c>
      <c r="F80" s="821">
        <v>30</v>
      </c>
    </row>
    <row r="81" spans="1:6" s="817" customFormat="1" ht="36">
      <c r="A81" s="821">
        <v>21</v>
      </c>
      <c r="B81" s="3417"/>
      <c r="C81" s="757" t="s">
        <v>656</v>
      </c>
      <c r="D81" s="757" t="s">
        <v>657</v>
      </c>
      <c r="E81" s="834">
        <v>0.2</v>
      </c>
      <c r="F81" s="821">
        <v>30</v>
      </c>
    </row>
    <row r="82" spans="1:6" s="817" customFormat="1" ht="48">
      <c r="A82" s="821">
        <v>22</v>
      </c>
      <c r="B82" s="3417"/>
      <c r="C82" s="757" t="s">
        <v>658</v>
      </c>
      <c r="D82" s="757" t="s">
        <v>659</v>
      </c>
      <c r="E82" s="834">
        <v>0.2</v>
      </c>
      <c r="F82" s="821">
        <v>30</v>
      </c>
    </row>
    <row r="83" spans="1:6" s="817" customFormat="1" ht="48">
      <c r="A83" s="821">
        <v>23</v>
      </c>
      <c r="B83" s="3417"/>
      <c r="C83" s="757" t="s">
        <v>660</v>
      </c>
      <c r="D83" s="757" t="s">
        <v>661</v>
      </c>
      <c r="E83" s="834">
        <v>0.2</v>
      </c>
      <c r="F83" s="821">
        <v>30</v>
      </c>
    </row>
    <row r="84" spans="1:6" s="817" customFormat="1" ht="36">
      <c r="A84" s="821">
        <v>24</v>
      </c>
      <c r="B84" s="3417"/>
      <c r="C84" s="757" t="s">
        <v>662</v>
      </c>
      <c r="D84" s="757" t="s">
        <v>663</v>
      </c>
      <c r="E84" s="834">
        <v>0.2</v>
      </c>
      <c r="F84" s="821">
        <v>30</v>
      </c>
    </row>
    <row r="85" spans="1:6" s="817" customFormat="1" ht="36">
      <c r="A85" s="821">
        <v>25</v>
      </c>
      <c r="B85" s="3417"/>
      <c r="C85" s="757" t="s">
        <v>664</v>
      </c>
      <c r="D85" s="757" t="s">
        <v>665</v>
      </c>
      <c r="E85" s="834">
        <v>0.5</v>
      </c>
      <c r="F85" s="821">
        <v>80</v>
      </c>
    </row>
    <row r="86" spans="1:6" s="817" customFormat="1" ht="36">
      <c r="A86" s="821">
        <v>26</v>
      </c>
      <c r="B86" s="3417"/>
      <c r="C86" s="757" t="s">
        <v>666</v>
      </c>
      <c r="D86" s="757" t="s">
        <v>667</v>
      </c>
      <c r="E86" s="834">
        <v>0.2</v>
      </c>
      <c r="F86" s="821">
        <v>30</v>
      </c>
    </row>
    <row r="87" spans="1:6" s="817" customFormat="1" ht="36">
      <c r="A87" s="821">
        <v>27</v>
      </c>
      <c r="B87" s="3417"/>
      <c r="C87" s="757" t="s">
        <v>668</v>
      </c>
      <c r="D87" s="757" t="s">
        <v>669</v>
      </c>
      <c r="E87" s="834">
        <v>0.2</v>
      </c>
      <c r="F87" s="821">
        <v>30</v>
      </c>
    </row>
    <row r="88" spans="1:6" s="817" customFormat="1" ht="36">
      <c r="A88" s="821">
        <v>28</v>
      </c>
      <c r="B88" s="3417"/>
      <c r="C88" s="757" t="s">
        <v>670</v>
      </c>
      <c r="D88" s="757" t="s">
        <v>671</v>
      </c>
      <c r="E88" s="834">
        <v>0.2</v>
      </c>
      <c r="F88" s="821">
        <v>30</v>
      </c>
    </row>
    <row r="89" spans="1:6" s="817" customFormat="1" ht="24">
      <c r="A89" s="821">
        <v>29</v>
      </c>
      <c r="B89" s="3417"/>
      <c r="C89" s="757" t="s">
        <v>672</v>
      </c>
      <c r="D89" s="757" t="s">
        <v>673</v>
      </c>
      <c r="E89" s="834">
        <v>0.2</v>
      </c>
      <c r="F89" s="821">
        <v>30</v>
      </c>
    </row>
    <row r="90" spans="1:6" s="817" customFormat="1" ht="24">
      <c r="A90" s="821">
        <v>30</v>
      </c>
      <c r="B90" s="3417"/>
      <c r="C90" s="757" t="s">
        <v>674</v>
      </c>
      <c r="D90" s="757" t="s">
        <v>675</v>
      </c>
      <c r="E90" s="834">
        <v>0.2</v>
      </c>
      <c r="F90" s="821">
        <v>30</v>
      </c>
    </row>
    <row r="91" spans="1:6" s="817" customFormat="1" ht="36">
      <c r="A91" s="821">
        <v>31</v>
      </c>
      <c r="B91" s="3417"/>
      <c r="C91" s="757" t="s">
        <v>676</v>
      </c>
      <c r="D91" s="757" t="s">
        <v>677</v>
      </c>
      <c r="E91" s="834">
        <v>0.2</v>
      </c>
      <c r="F91" s="821">
        <v>30</v>
      </c>
    </row>
    <row r="92" spans="1:6" s="817" customFormat="1" ht="24">
      <c r="A92" s="821">
        <v>32</v>
      </c>
      <c r="B92" s="3417" t="s">
        <v>678</v>
      </c>
      <c r="C92" s="821" t="s">
        <v>679</v>
      </c>
      <c r="D92" s="757" t="s">
        <v>680</v>
      </c>
      <c r="E92" s="834">
        <v>0.2</v>
      </c>
      <c r="F92" s="821">
        <v>30</v>
      </c>
    </row>
    <row r="93" spans="1:6" s="817" customFormat="1" ht="36">
      <c r="A93" s="821">
        <v>33</v>
      </c>
      <c r="B93" s="3417"/>
      <c r="C93" s="821" t="s">
        <v>681</v>
      </c>
      <c r="D93" s="757" t="s">
        <v>682</v>
      </c>
      <c r="E93" s="834">
        <v>0.2</v>
      </c>
      <c r="F93" s="821">
        <v>30</v>
      </c>
    </row>
    <row r="94" spans="1:6" s="817" customFormat="1" ht="48">
      <c r="A94" s="821">
        <v>34</v>
      </c>
      <c r="B94" s="3417"/>
      <c r="C94" s="821" t="s">
        <v>683</v>
      </c>
      <c r="D94" s="757" t="s">
        <v>684</v>
      </c>
      <c r="E94" s="834">
        <v>0.2</v>
      </c>
      <c r="F94" s="821">
        <v>30</v>
      </c>
    </row>
    <row r="95" spans="1:6" s="817" customFormat="1" ht="36">
      <c r="A95" s="821">
        <v>35</v>
      </c>
      <c r="B95" s="3417"/>
      <c r="C95" s="821" t="s">
        <v>685</v>
      </c>
      <c r="D95" s="757" t="s">
        <v>686</v>
      </c>
      <c r="E95" s="834">
        <v>0.2</v>
      </c>
      <c r="F95" s="821">
        <v>30</v>
      </c>
    </row>
    <row r="96" spans="1:6" s="817" customFormat="1" ht="48">
      <c r="A96" s="821">
        <v>36</v>
      </c>
      <c r="B96" s="3417"/>
      <c r="C96" s="757" t="s">
        <v>687</v>
      </c>
      <c r="D96" s="757" t="s">
        <v>688</v>
      </c>
      <c r="E96" s="834">
        <v>0.2</v>
      </c>
      <c r="F96" s="821">
        <v>30</v>
      </c>
    </row>
    <row r="97" spans="1:6" s="817" customFormat="1" ht="36">
      <c r="A97" s="821">
        <v>37</v>
      </c>
      <c r="B97" s="3417"/>
      <c r="C97" s="821" t="s">
        <v>689</v>
      </c>
      <c r="D97" s="757" t="s">
        <v>690</v>
      </c>
      <c r="E97" s="834">
        <v>0.2</v>
      </c>
      <c r="F97" s="821">
        <v>30</v>
      </c>
    </row>
    <row r="98" spans="1:6" s="817" customFormat="1" ht="36">
      <c r="A98" s="821">
        <v>38</v>
      </c>
      <c r="B98" s="3417"/>
      <c r="C98" s="821" t="s">
        <v>691</v>
      </c>
      <c r="D98" s="757" t="s">
        <v>692</v>
      </c>
      <c r="E98" s="834">
        <v>0.2</v>
      </c>
      <c r="F98" s="821">
        <v>30</v>
      </c>
    </row>
    <row r="99" spans="1:6" s="817" customFormat="1" ht="36">
      <c r="A99" s="821">
        <v>39</v>
      </c>
      <c r="B99" s="3417" t="s">
        <v>693</v>
      </c>
      <c r="C99" s="821" t="s">
        <v>694</v>
      </c>
      <c r="D99" s="757" t="s">
        <v>695</v>
      </c>
      <c r="E99" s="834">
        <v>0.3</v>
      </c>
      <c r="F99" s="821">
        <v>50</v>
      </c>
    </row>
    <row r="100" spans="1:6" s="817" customFormat="1" ht="24">
      <c r="A100" s="821">
        <v>40</v>
      </c>
      <c r="B100" s="3417"/>
      <c r="C100" s="821" t="s">
        <v>696</v>
      </c>
      <c r="D100" s="757" t="s">
        <v>697</v>
      </c>
      <c r="E100" s="834">
        <v>0.2</v>
      </c>
      <c r="F100" s="821">
        <v>30</v>
      </c>
    </row>
    <row r="101" spans="1:6" s="817" customFormat="1" ht="36">
      <c r="A101" s="821">
        <v>41</v>
      </c>
      <c r="B101" s="341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7" t="s">
        <v>708</v>
      </c>
      <c r="C105" s="821" t="s">
        <v>709</v>
      </c>
      <c r="D105" s="757" t="s">
        <v>710</v>
      </c>
      <c r="E105" s="834">
        <v>0.2</v>
      </c>
      <c r="F105" s="821">
        <v>30</v>
      </c>
    </row>
    <row r="106" spans="1:6" s="817" customFormat="1" ht="36">
      <c r="A106" s="821">
        <v>46</v>
      </c>
      <c r="B106" s="3417"/>
      <c r="C106" s="821" t="s">
        <v>711</v>
      </c>
      <c r="D106" s="757" t="s">
        <v>712</v>
      </c>
      <c r="E106" s="834">
        <v>0.2</v>
      </c>
      <c r="F106" s="821">
        <v>30</v>
      </c>
    </row>
    <row r="107" spans="1:6" s="817" customFormat="1" ht="36">
      <c r="A107" s="821">
        <v>47</v>
      </c>
      <c r="B107" s="3417" t="s">
        <v>713</v>
      </c>
      <c r="C107" s="821" t="s">
        <v>714</v>
      </c>
      <c r="D107" s="757" t="s">
        <v>715</v>
      </c>
      <c r="E107" s="834">
        <v>0.3</v>
      </c>
      <c r="F107" s="821">
        <v>50</v>
      </c>
    </row>
    <row r="108" spans="1:6" s="817" customFormat="1" ht="36">
      <c r="A108" s="821">
        <v>48</v>
      </c>
      <c r="B108" s="341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7" t="s">
        <v>724</v>
      </c>
      <c r="C111" s="821" t="s">
        <v>725</v>
      </c>
      <c r="D111" s="757" t="s">
        <v>726</v>
      </c>
      <c r="E111" s="834">
        <v>0.2</v>
      </c>
      <c r="F111" s="821">
        <v>30</v>
      </c>
    </row>
    <row r="112" spans="1:6" s="817" customFormat="1" ht="24">
      <c r="A112" s="821">
        <v>52</v>
      </c>
      <c r="B112" s="3417"/>
      <c r="C112" s="821" t="s">
        <v>727</v>
      </c>
      <c r="D112" s="757" t="s">
        <v>728</v>
      </c>
      <c r="E112" s="834">
        <v>0.2</v>
      </c>
      <c r="F112" s="821">
        <v>30</v>
      </c>
    </row>
    <row r="113" spans="1:6" s="817" customFormat="1" ht="24">
      <c r="A113" s="821">
        <v>53</v>
      </c>
      <c r="B113" s="341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7" t="s">
        <v>737</v>
      </c>
      <c r="C116" s="821" t="s">
        <v>738</v>
      </c>
      <c r="D116" s="757" t="s">
        <v>739</v>
      </c>
      <c r="E116" s="834">
        <v>0.2</v>
      </c>
      <c r="F116" s="821">
        <v>30</v>
      </c>
    </row>
    <row r="117" spans="1:6" ht="36">
      <c r="A117" s="821">
        <v>57</v>
      </c>
      <c r="B117" s="341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0.86009999999999998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677"/>
      <c r="B4" s="3104" t="s">
        <v>1595</v>
      </c>
      <c r="C4" s="3104"/>
      <c r="D4" s="3104"/>
      <c r="E4" s="1677"/>
    </row>
    <row r="5" spans="1:5" ht="16.5" thickTop="1">
      <c r="A5" s="1675"/>
      <c r="B5" s="3102" t="s">
        <v>1587</v>
      </c>
      <c r="C5" s="1678" t="s">
        <v>1588</v>
      </c>
      <c r="D5" s="959">
        <f ca="1">结果表!H101</f>
        <v>68706</v>
      </c>
      <c r="E5" s="1675"/>
    </row>
    <row r="6" spans="1:5" ht="15.75">
      <c r="A6" s="1675"/>
      <c r="B6" s="3102"/>
      <c r="C6" s="1678" t="s">
        <v>1589</v>
      </c>
      <c r="D6" s="959" t="str">
        <f ca="1">NUMBERSTRING(INT(D5*10000),2)&amp;"元整"</f>
        <v>陆亿捌仟柒佰零陆万元整</v>
      </c>
      <c r="E6" s="1675"/>
    </row>
    <row r="7" spans="1:5" ht="15.75">
      <c r="A7" s="1675"/>
      <c r="B7" s="3107"/>
      <c r="C7" s="1679" t="s">
        <v>1590</v>
      </c>
      <c r="D7" s="960">
        <f ca="1">结果表!H102</f>
        <v>17303</v>
      </c>
      <c r="E7" s="1675"/>
    </row>
    <row r="8" spans="1:5" ht="15.75">
      <c r="A8" s="1675"/>
      <c r="B8" s="3108" t="str">
        <f>结果表!E103</f>
        <v>2.估价师知悉的法定优先受偿款</v>
      </c>
      <c r="C8" s="1680" t="s">
        <v>1591</v>
      </c>
      <c r="D8" s="960">
        <f>结果表!H103</f>
        <v>0</v>
      </c>
      <c r="E8" s="1675"/>
    </row>
    <row r="9" spans="1:5" ht="15.75">
      <c r="A9" s="1675"/>
      <c r="B9" s="3110"/>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01" t="str">
        <f>结果表!E107</f>
        <v>3.房地产抵押价值</v>
      </c>
      <c r="C13" s="1683" t="s">
        <v>1588</v>
      </c>
      <c r="D13" s="962">
        <f ca="1">结果表!H107</f>
        <v>68706</v>
      </c>
      <c r="E13" s="1675"/>
    </row>
    <row r="14" spans="1:5" ht="15.75">
      <c r="A14" s="1675"/>
      <c r="B14" s="3102"/>
      <c r="C14" s="1678" t="s">
        <v>1589</v>
      </c>
      <c r="D14" s="959" t="str">
        <f ca="1">NUMBERSTRING(INT(D13*10000),2)&amp;"元整"</f>
        <v>陆亿捌仟柒佰零陆万元整</v>
      </c>
      <c r="E14" s="1675"/>
    </row>
    <row r="15" spans="1:5" ht="15">
      <c r="A15" s="1675"/>
      <c r="B15" s="3107"/>
      <c r="C15" s="1679" t="s">
        <v>1599</v>
      </c>
      <c r="D15" s="968">
        <f ca="1">结果表!H108</f>
        <v>17303</v>
      </c>
      <c r="E15" s="1675"/>
    </row>
    <row r="16" spans="1:5" ht="15">
      <c r="A16" s="1675"/>
      <c r="B16" s="3108" t="str">
        <f>结果表!E109</f>
        <v>——</v>
      </c>
      <c r="C16" s="1683" t="s">
        <v>1600</v>
      </c>
      <c r="D16" s="1684" t="str">
        <f>结果表!H109</f>
        <v>——</v>
      </c>
      <c r="E16" s="1675"/>
    </row>
    <row r="17" spans="1:5" ht="15.75">
      <c r="A17" s="1675"/>
      <c r="B17" s="3109"/>
      <c r="C17" s="1678" t="s">
        <v>1601</v>
      </c>
      <c r="D17" s="959" t="e">
        <f>NUMBERSTRING(INT(D16*10000),2)&amp;"元整"</f>
        <v>#VALUE!</v>
      </c>
      <c r="E17" s="1675"/>
    </row>
    <row r="18" spans="1:5" ht="15">
      <c r="A18" s="1675"/>
      <c r="B18" s="3110"/>
      <c r="C18" s="1679" t="s">
        <v>1590</v>
      </c>
      <c r="D18" s="968" t="str">
        <f>结果表!H110</f>
        <v>——</v>
      </c>
      <c r="E18" s="1675"/>
    </row>
    <row r="19" spans="1:5" ht="15.75">
      <c r="A19" s="1675"/>
      <c r="B19" s="3101" t="str">
        <f>结果表!E111</f>
        <v>——</v>
      </c>
      <c r="C19" s="1683" t="s">
        <v>1588</v>
      </c>
      <c r="D19" s="960" t="str">
        <f>结果表!H111</f>
        <v>——</v>
      </c>
      <c r="E19" s="1675"/>
    </row>
    <row r="20" spans="1:5" ht="15.75">
      <c r="A20" s="1675"/>
      <c r="B20" s="3102"/>
      <c r="C20" s="1678" t="s">
        <v>1601</v>
      </c>
      <c r="D20" s="959" t="e">
        <f>NUMBERSTRING(INT(D19*10000),2)&amp;"元整"</f>
        <v>#VALUE!</v>
      </c>
      <c r="E20" s="1675"/>
    </row>
    <row r="21" spans="1:5" ht="15.75" thickBot="1">
      <c r="A21" s="1675"/>
      <c r="B21" s="3103"/>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F7" sqref="F7:F34"/>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0"/>
      <c r="G1" s="3020"/>
      <c r="H1" s="3020"/>
      <c r="I1" s="3020"/>
      <c r="J1" s="3020"/>
      <c r="K1" s="3020"/>
      <c r="L1" s="3020"/>
      <c r="M1" s="3020"/>
      <c r="N1" s="3020"/>
      <c r="O1" s="3020"/>
      <c r="P1" s="3020"/>
    </row>
    <row r="2" spans="1:16" ht="15.75">
      <c r="A2" s="2360" t="s">
        <v>2813</v>
      </c>
      <c r="B2" s="2824">
        <f ca="1">SUMIF(B6:B13,"&lt;&gt;#ref!",B6:B13)</f>
        <v>25863</v>
      </c>
      <c r="C2" s="2360" t="s">
        <v>2814</v>
      </c>
      <c r="D2" s="2360" t="s">
        <v>2815</v>
      </c>
      <c r="E2" s="2834">
        <f ca="1">SUMIF(E6:E13,"&lt;&gt;#ref!",E6:E13)</f>
        <v>39425.990000000005</v>
      </c>
      <c r="F2" s="3020"/>
      <c r="G2" s="3020"/>
      <c r="H2" s="3020"/>
      <c r="I2" s="3020"/>
      <c r="J2" s="3020"/>
      <c r="K2" s="3020"/>
      <c r="L2" s="3020"/>
      <c r="M2" s="3020"/>
      <c r="N2" s="3020"/>
      <c r="O2" s="3020"/>
      <c r="P2" s="3020"/>
    </row>
    <row r="3" spans="1:16" ht="15.75">
      <c r="A3" s="2360" t="s">
        <v>2816</v>
      </c>
      <c r="B3" s="2824">
        <f ca="1">ROUND(B2*10000/E2,0)</f>
        <v>6560</v>
      </c>
      <c r="C3" s="2360"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61"/>
      <c r="D5" s="3020"/>
      <c r="E5" s="2833" t="s">
        <v>2819</v>
      </c>
      <c r="F5" s="3020"/>
      <c r="G5" s="3020"/>
      <c r="H5" s="3020"/>
      <c r="I5" s="3020"/>
      <c r="J5" s="3020"/>
      <c r="K5" s="3020"/>
      <c r="L5" s="3020"/>
      <c r="M5" s="3020"/>
      <c r="N5" s="3020"/>
      <c r="O5" s="3020"/>
      <c r="P5" s="3020"/>
    </row>
    <row r="6" spans="1:16" ht="15.75">
      <c r="A6" s="2831" t="s">
        <v>2820</v>
      </c>
      <c r="B6" s="2824">
        <f ca="1">SUMIF(INDIRECT("'"&amp;A6&amp;"'"&amp;"!A:A"),"总价",INDIRECT("'"&amp;A6&amp;"'"&amp;"!B:B"))</f>
        <v>25863</v>
      </c>
      <c r="C6" s="2360" t="s">
        <v>2814</v>
      </c>
      <c r="D6" s="3020"/>
      <c r="E6" s="2834">
        <f ca="1">SUMIF(INDIRECT("'"&amp;A6&amp;"'"&amp;"!C:C"),"建筑面积",INDIRECT("'"&amp;A6&amp;"'"&amp;"!D:D"))</f>
        <v>39425.990000000005</v>
      </c>
      <c r="F6" s="3020"/>
      <c r="G6" s="3020"/>
      <c r="H6" s="3020"/>
      <c r="I6" s="3020"/>
      <c r="J6" s="3020"/>
      <c r="K6" s="3020"/>
      <c r="L6" s="3020"/>
      <c r="M6" s="3020"/>
      <c r="N6" s="3020"/>
      <c r="O6" s="3020"/>
      <c r="P6" s="3020"/>
    </row>
    <row r="7" spans="1:16" ht="15.75">
      <c r="A7" s="2831"/>
      <c r="B7" s="2824" t="e">
        <f ca="1">SUMIF(INDIRECT("'"&amp;A7&amp;"'"&amp;"!A:A"),"总价",INDIRECT("'"&amp;A7&amp;"'"&amp;"!B:B"))</f>
        <v>#REF!</v>
      </c>
      <c r="C7" s="2360"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60"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60"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60"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60"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60"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60"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F7" sqref="F7:F34"/>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23" t="s">
        <v>1117</v>
      </c>
      <c r="C1" s="3423"/>
      <c r="D1" s="3423"/>
      <c r="E1" s="3423"/>
      <c r="F1" s="3423"/>
      <c r="G1" s="3422" t="s">
        <v>1118</v>
      </c>
      <c r="H1" s="3422"/>
      <c r="I1" s="3422"/>
      <c r="J1" s="3422"/>
      <c r="K1" s="3422"/>
      <c r="L1" s="3422"/>
      <c r="N1" s="3422" t="s">
        <v>1119</v>
      </c>
      <c r="O1" s="3422"/>
      <c r="P1" s="3422"/>
      <c r="Q1" s="3422"/>
      <c r="S1" s="3422" t="s">
        <v>1120</v>
      </c>
      <c r="T1" s="3422"/>
      <c r="U1" s="3422"/>
      <c r="V1" s="3422"/>
      <c r="X1" s="3421" t="s">
        <v>1121</v>
      </c>
      <c r="Y1" s="3422"/>
      <c r="Z1" s="3422"/>
      <c r="AA1" s="3422"/>
      <c r="AB1" s="3422"/>
      <c r="AD1" s="3421" t="s">
        <v>1122</v>
      </c>
      <c r="AE1" s="3422"/>
      <c r="AF1" s="3422"/>
      <c r="AG1" s="3422"/>
      <c r="AH1" s="342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57">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3058</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57">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3057</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6">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3056</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0">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3054</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39">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3053</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6">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19">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19"/>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19"/>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28"/>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24">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19"/>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19"/>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28"/>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24">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19"/>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19"/>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0"/>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18">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19"/>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19"/>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0"/>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18">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19"/>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19"/>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0"/>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25">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26"/>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26"/>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27"/>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18">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19"/>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19"/>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0"/>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18">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19">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19">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0">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18">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19">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19">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0">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18">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19">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19">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0">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18">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19">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19">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0">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18">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19">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19">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0">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18">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19">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19">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0">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18">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19">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19">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0">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18">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19">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19">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0">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18">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19">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19">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0">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18">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19">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19">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0">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7" sqref="F7:F34"/>
      <selection pane="bottomLeft" activeCell="F7" sqref="F7:F3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32" t="s">
        <v>2824</v>
      </c>
      <c r="D1" s="3433"/>
      <c r="E1" s="3433"/>
      <c r="F1" s="3433"/>
      <c r="G1" s="3433"/>
      <c r="H1" s="3433"/>
      <c r="I1" s="3433"/>
      <c r="J1" s="3433"/>
      <c r="K1" s="3433"/>
      <c r="L1" s="3433"/>
      <c r="M1" s="3433"/>
      <c r="N1" s="3433"/>
      <c r="O1" s="3433"/>
      <c r="P1" s="3433"/>
      <c r="Q1" s="3433"/>
      <c r="R1" s="3433"/>
      <c r="S1" s="343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2827</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2828</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2829</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3"/>
      <c r="F19" s="1523"/>
      <c r="G19" s="1523"/>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4"/>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9" t="s">
        <v>33</v>
      </c>
      <c r="D22" s="3430"/>
      <c r="E22" s="3430"/>
      <c r="F22" s="3430"/>
      <c r="G22" s="3430"/>
      <c r="H22" s="3430"/>
      <c r="I22" s="3430"/>
      <c r="J22" s="3430"/>
      <c r="K22" s="3430"/>
      <c r="L22" s="3430"/>
      <c r="M22" s="3430"/>
      <c r="N22" s="3430"/>
      <c r="O22" s="3430"/>
      <c r="P22" s="3430"/>
      <c r="Q22" s="343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50251</v>
      </c>
      <c r="C2" s="2" t="s">
        <v>133</v>
      </c>
      <c r="D2" s="205"/>
      <c r="E2" s="205"/>
      <c r="F2" s="205"/>
      <c r="G2" s="205"/>
    </row>
    <row r="3" spans="1:7" s="206" customFormat="1" ht="18" customHeight="1" thickBot="1">
      <c r="A3" s="209" t="s">
        <v>85</v>
      </c>
      <c r="B3" s="210">
        <f ca="1">ROUND(B2*10000/'数据-汇总表'!E3,0)</f>
        <v>12655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794</v>
      </c>
      <c r="D10" s="954">
        <f>'数据-汇总表'!E6</f>
        <v>39707.960000000006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794</v>
      </c>
      <c r="D19" s="958">
        <f>'数据-汇总表'!E3</f>
        <v>39707.960000000006</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1922</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71</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3930</v>
      </c>
      <c r="D27" s="241">
        <f>C29</f>
        <v>1.8E-3</v>
      </c>
      <c r="E27" s="242" t="s">
        <v>126</v>
      </c>
      <c r="F27" s="252">
        <f>'数据-取费表'!Q16</f>
        <v>0.18</v>
      </c>
      <c r="G27" s="253" t="s">
        <v>1037</v>
      </c>
    </row>
    <row r="28" spans="1:7" s="220" customFormat="1" ht="13.5" customHeight="1">
      <c r="A28" s="888" t="s">
        <v>794</v>
      </c>
      <c r="B28" s="254" t="s">
        <v>1030</v>
      </c>
      <c r="C28" s="255">
        <f>ROUND((C5+C19+C20)*F27*'数据-取费表'!B21/'数据-取费表'!B20,0)</f>
        <v>3930</v>
      </c>
      <c r="D28" s="241"/>
      <c r="E28" s="242"/>
      <c r="F28" s="252"/>
      <c r="G28" s="253"/>
    </row>
    <row r="29" spans="1:7" s="220" customFormat="1" ht="13.5" customHeight="1">
      <c r="A29" s="888" t="s">
        <v>792</v>
      </c>
      <c r="B29" s="254" t="s">
        <v>1031</v>
      </c>
      <c r="C29" s="244">
        <f>ROUND(C21*F27*'数据-取费表'!B21/'数据-取费表'!B20,4)</f>
        <v>1.8E-3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29625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16609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15134</v>
      </c>
      <c r="D34" s="223"/>
      <c r="E34" s="226"/>
      <c r="F34" s="263">
        <f>IF('数据-取费表'!B24=0,1,'数据-取费表'!N16)</f>
        <v>1</v>
      </c>
      <c r="G34" s="225" t="s">
        <v>116</v>
      </c>
    </row>
    <row r="35" spans="1:7" ht="13.5" customHeight="1">
      <c r="A35" s="888" t="s">
        <v>796</v>
      </c>
      <c r="B35" s="221" t="s">
        <v>60</v>
      </c>
      <c r="C35" s="226">
        <f>ROUND(C34*F35,0)</f>
        <v>454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794</v>
      </c>
      <c r="D37" s="223">
        <f>'数据-汇总表'!E3</f>
        <v>39707.960000000006</v>
      </c>
      <c r="E37" s="255">
        <f>'数据-取费表'!B35</f>
        <v>200</v>
      </c>
      <c r="F37" s="265"/>
      <c r="G37" s="267" t="s">
        <v>119</v>
      </c>
    </row>
    <row r="38" spans="1:7" ht="13.5" customHeight="1">
      <c r="A38" s="888" t="s">
        <v>799</v>
      </c>
      <c r="B38" s="221" t="s">
        <v>63</v>
      </c>
      <c r="C38" s="226">
        <f>ROUND(C34*F38,0)</f>
        <v>227</v>
      </c>
      <c r="D38" s="226"/>
      <c r="E38" s="226"/>
      <c r="F38" s="265">
        <f>'数据-取费表'!B36</f>
        <v>1.4999999999999999E-2</v>
      </c>
      <c r="G38" s="225" t="s">
        <v>117</v>
      </c>
    </row>
    <row r="39" spans="1:7" s="220" customFormat="1" ht="13.5" customHeight="1">
      <c r="A39" s="885" t="s">
        <v>783</v>
      </c>
      <c r="B39" s="216" t="s">
        <v>104</v>
      </c>
      <c r="C39" s="238">
        <f>ROUND(C33*F20,0)</f>
        <v>332</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736</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722</v>
      </c>
      <c r="D42" s="244"/>
      <c r="E42" s="244"/>
      <c r="F42" s="245"/>
      <c r="G42" s="3289" t="s">
        <v>121</v>
      </c>
    </row>
    <row r="43" spans="1:7" ht="13.5" customHeight="1">
      <c r="A43" s="888" t="s">
        <v>792</v>
      </c>
      <c r="B43" s="221" t="s">
        <v>1032</v>
      </c>
      <c r="C43" s="244">
        <f ca="1">ROUND(IF('数据-取费表'!B22&lt;=1,C39*F22*'数据-取费表'!B21/2,C39*(POWER((1+F22),'数据-取费表'!B21/2)-1)),0)</f>
        <v>14</v>
      </c>
      <c r="D43" s="244"/>
      <c r="E43" s="244"/>
      <c r="F43" s="245"/>
      <c r="G43" s="3290"/>
    </row>
    <row r="44" spans="1:7" ht="13.5" customHeight="1">
      <c r="A44" s="888" t="s">
        <v>793</v>
      </c>
      <c r="B44" s="221" t="s">
        <v>1034</v>
      </c>
      <c r="C44" s="244">
        <f ca="1">ROUND(IF('数据-取费表'!B22&lt;=1,C40*F22*'数据-取费表'!B21/2,C40*(POWER((1+F22),'数据-取费表'!B21/2)-1)),4)</f>
        <v>4.0000000000000002E-4</v>
      </c>
      <c r="D44" s="244"/>
      <c r="E44" s="244"/>
      <c r="F44" s="245"/>
      <c r="G44" s="3291"/>
    </row>
    <row r="45" spans="1:7" s="220" customFormat="1" ht="13.5" customHeight="1">
      <c r="A45" s="885" t="s">
        <v>786</v>
      </c>
      <c r="B45" s="250" t="s">
        <v>112</v>
      </c>
      <c r="C45" s="251">
        <f>C46</f>
        <v>3049</v>
      </c>
      <c r="D45" s="241">
        <f>C47</f>
        <v>1.8E-3</v>
      </c>
      <c r="E45" s="242" t="s">
        <v>129</v>
      </c>
      <c r="F45" s="252"/>
      <c r="G45" s="253" t="s">
        <v>1040</v>
      </c>
    </row>
    <row r="46" spans="1:7" s="220" customFormat="1" ht="13.5" customHeight="1">
      <c r="A46" s="888" t="s">
        <v>794</v>
      </c>
      <c r="B46" s="254" t="s">
        <v>1033</v>
      </c>
      <c r="C46" s="255">
        <f>ROUND((C33+C39)*F27,0)</f>
        <v>3049</v>
      </c>
      <c r="D46" s="269"/>
      <c r="E46" s="242"/>
      <c r="F46" s="252"/>
      <c r="G46" s="253"/>
    </row>
    <row r="47" spans="1:7" s="220" customFormat="1" ht="13.5" customHeight="1">
      <c r="A47" s="888" t="s">
        <v>792</v>
      </c>
      <c r="B47" s="254" t="s">
        <v>1035</v>
      </c>
      <c r="C47" s="244">
        <f>ROUND(C40*F27,4)</f>
        <v>1.8E-3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22179</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20626</v>
      </c>
      <c r="D51" s="238"/>
      <c r="E51" s="238"/>
      <c r="F51" s="270"/>
      <c r="G51" s="240" t="s">
        <v>64</v>
      </c>
    </row>
    <row r="52" spans="1:7" s="214" customFormat="1" ht="16.5" thickBot="1">
      <c r="A52" s="271" t="s">
        <v>65</v>
      </c>
      <c r="B52" s="272"/>
      <c r="C52" s="273">
        <f ca="1">C31+C51</f>
        <v>50251</v>
      </c>
      <c r="D52" s="272"/>
      <c r="E52" s="272"/>
      <c r="F52" s="272"/>
      <c r="G52" s="274"/>
    </row>
    <row r="55" spans="1:7" ht="15">
      <c r="B55" s="276" t="s">
        <v>66</v>
      </c>
      <c r="C55" s="277"/>
    </row>
    <row r="56" spans="1:7">
      <c r="B56" s="279" t="s">
        <v>67</v>
      </c>
      <c r="C56" s="280">
        <f ca="1">ROUND(C51/C52,3)</f>
        <v>0.41</v>
      </c>
    </row>
    <row r="57" spans="1:7">
      <c r="B57" s="279" t="s">
        <v>68</v>
      </c>
      <c r="C57" s="281">
        <f ca="1">1-C56</f>
        <v>0.59000000000000008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5" t="s">
        <v>156</v>
      </c>
      <c r="B1" s="3435"/>
      <c r="C1" s="3435"/>
      <c r="D1" s="3435"/>
      <c r="E1" s="3435"/>
      <c r="F1" s="343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6" t="s">
        <v>169</v>
      </c>
      <c r="B2" s="3436"/>
      <c r="C2" s="3436"/>
      <c r="D2" s="3436"/>
      <c r="E2" s="3436"/>
      <c r="F2" s="343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5" t="s">
        <v>839</v>
      </c>
      <c r="B1" s="343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F7" sqref="F7:F3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44515</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8">
        <v>43941</v>
      </c>
      <c r="D13" s="3049">
        <v>3.85</v>
      </c>
      <c r="E13" s="3049">
        <v>3.85</v>
      </c>
      <c r="F13" s="3049">
        <v>3.85</v>
      </c>
      <c r="G13" s="3049">
        <v>3.85</v>
      </c>
      <c r="H13" s="3049">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3" t="s">
        <v>3055</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5"/>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963" t="s">
        <v>1603</v>
      </c>
      <c r="E3" s="963" t="s">
        <v>1609</v>
      </c>
      <c r="F3" s="963" t="s">
        <v>1603</v>
      </c>
      <c r="G3" s="963" t="s">
        <v>1604</v>
      </c>
      <c r="H3" s="963" t="s">
        <v>1603</v>
      </c>
      <c r="I3" s="963" t="s">
        <v>1604</v>
      </c>
    </row>
    <row r="4" spans="1:9" ht="15">
      <c r="A4" s="1689" t="str">
        <f>项目基本情况!S2</f>
        <v>北京市房地产</v>
      </c>
      <c r="B4" s="963">
        <f>项目基本情况!C17</f>
        <v>39707.960000000006</v>
      </c>
      <c r="C4" s="963">
        <f>项目基本情况!C18</f>
        <v>6294.36</v>
      </c>
      <c r="D4" s="963">
        <f ca="1">结果表!D118</f>
        <v>50155</v>
      </c>
      <c r="E4" s="963">
        <f ca="1">结果表!E118</f>
        <v>12631</v>
      </c>
      <c r="F4" s="963">
        <f ca="1">结果表!F118</f>
        <v>18551</v>
      </c>
      <c r="G4" s="963">
        <f ca="1">结果表!G118</f>
        <v>4672</v>
      </c>
      <c r="H4" s="963">
        <f ca="1">结果表!H118</f>
        <v>68706</v>
      </c>
      <c r="I4" s="963">
        <f ca="1">结果表!I118</f>
        <v>17303</v>
      </c>
    </row>
    <row r="5" spans="1:9" ht="30" customHeight="1">
      <c r="A5" s="3115" t="s">
        <v>1605</v>
      </c>
      <c r="B5" s="3115"/>
      <c r="C5" s="3115"/>
      <c r="D5" s="3116" t="str">
        <f ca="1">结果表!D119</f>
        <v>伍亿零壹佰伍拾伍万元整</v>
      </c>
      <c r="E5" s="3116"/>
      <c r="F5" s="3116" t="str">
        <f ca="1">结果表!F119</f>
        <v>壹亿捌仟伍佰伍拾壹万元整</v>
      </c>
      <c r="G5" s="3116"/>
      <c r="H5" s="3116" t="str">
        <f ca="1">结果表!H119</f>
        <v>陆亿捌仟柒佰零陆万元整</v>
      </c>
      <c r="I5" s="3116"/>
    </row>
    <row r="6" spans="1:9" ht="15.75">
      <c r="A6" s="3114" t="str">
        <f>结果表!A120</f>
        <v>估价师知悉的法定优先受偿款</v>
      </c>
      <c r="B6" s="3114"/>
      <c r="C6" s="3114"/>
      <c r="D6" s="3114">
        <f>结果表!D120</f>
        <v>0</v>
      </c>
      <c r="E6" s="3114"/>
      <c r="F6" s="3114"/>
      <c r="G6" s="3114"/>
      <c r="H6" s="3114"/>
      <c r="I6" s="3114"/>
    </row>
    <row r="7" spans="1:9" ht="15">
      <c r="A7" s="3115" t="s">
        <v>1605</v>
      </c>
      <c r="B7" s="3115"/>
      <c r="C7" s="3115"/>
      <c r="D7" s="3117" t="str">
        <f>结果表!D121</f>
        <v>零元整</v>
      </c>
      <c r="E7" s="3118"/>
      <c r="F7" s="3118"/>
      <c r="G7" s="3118"/>
      <c r="H7" s="3118"/>
      <c r="I7" s="3119"/>
    </row>
    <row r="8" spans="1:9" ht="15.75">
      <c r="A8" s="3114" t="str">
        <f>结果表!A122</f>
        <v>房地产抵押价值</v>
      </c>
      <c r="B8" s="3114"/>
      <c r="C8" s="3114"/>
      <c r="D8" s="3114">
        <f ca="1">结果表!D122</f>
        <v>68706</v>
      </c>
      <c r="E8" s="3114"/>
      <c r="F8" s="3114"/>
      <c r="G8" s="3114"/>
      <c r="H8" s="3114"/>
      <c r="I8" s="3114"/>
    </row>
    <row r="9" spans="1:9" ht="15">
      <c r="A9" s="3115" t="s">
        <v>1605</v>
      </c>
      <c r="B9" s="3115"/>
      <c r="C9" s="3115"/>
      <c r="D9" s="3116" t="str">
        <f ca="1">结果表!D123</f>
        <v>陆亿捌仟柒佰零陆万元整</v>
      </c>
      <c r="E9" s="3116"/>
      <c r="F9" s="3116"/>
      <c r="G9" s="3116"/>
      <c r="H9" s="3116"/>
      <c r="I9" s="3116"/>
    </row>
    <row r="10" spans="1:9" ht="15.75">
      <c r="A10" s="3114" t="str">
        <f>结果表!A124</f>
        <v/>
      </c>
      <c r="B10" s="3114"/>
      <c r="C10" s="3114"/>
      <c r="D10" s="3114" t="str">
        <f>结果表!D124</f>
        <v>——</v>
      </c>
      <c r="E10" s="3114"/>
      <c r="F10" s="3114"/>
      <c r="G10" s="3114"/>
      <c r="H10" s="3114"/>
      <c r="I10" s="3114"/>
    </row>
    <row r="11" spans="1:9" ht="15">
      <c r="A11" s="3115" t="s">
        <v>1605</v>
      </c>
      <c r="B11" s="3115"/>
      <c r="C11" s="3115"/>
      <c r="D11" s="3116" t="e">
        <f>结果表!D125</f>
        <v>#VALUE!</v>
      </c>
      <c r="E11" s="3116"/>
      <c r="F11" s="3116"/>
      <c r="G11" s="3116"/>
      <c r="H11" s="3116"/>
      <c r="I11" s="3116"/>
    </row>
    <row r="12" spans="1:9" ht="15.75">
      <c r="A12" s="3114" t="str">
        <f>结果表!A126</f>
        <v/>
      </c>
      <c r="B12" s="3114"/>
      <c r="C12" s="3114"/>
      <c r="D12" s="3114" t="str">
        <f>结果表!D126</f>
        <v>——</v>
      </c>
      <c r="E12" s="3114"/>
      <c r="F12" s="3114"/>
      <c r="G12" s="3114"/>
      <c r="H12" s="3114"/>
      <c r="I12" s="3114"/>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8" t="s">
        <v>1627</v>
      </c>
      <c r="B1" s="3128"/>
      <c r="C1" s="3128"/>
      <c r="D1" s="3128"/>
    </row>
    <row r="2" spans="1:4" ht="18">
      <c r="A2" s="3129" t="s">
        <v>1611</v>
      </c>
      <c r="B2" s="3129"/>
      <c r="C2" s="3129"/>
      <c r="D2" s="3129"/>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29" t="s">
        <v>1617</v>
      </c>
      <c r="B6" s="3129"/>
      <c r="C6" s="3129"/>
      <c r="D6" s="312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30"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2" t="str">
        <f>IF(项目基本情况!B8="抵押","4.本次评估估价师所知悉的法定优先受偿款情况说明如下：","——")</f>
        <v>4.本次评估估价师所知悉的法定优先受偿款情况说明如下：</v>
      </c>
      <c r="B14" s="3127"/>
      <c r="C14" s="3127"/>
      <c r="D14" s="3127"/>
    </row>
    <row r="15" spans="1:4" ht="42" customHeight="1">
      <c r="A15" s="3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4" t="s">
        <v>1621</v>
      </c>
      <c r="B16" s="3124"/>
      <c r="C16" s="3124"/>
      <c r="D16" s="3124"/>
    </row>
    <row r="17" spans="1:4" ht="144" customHeight="1">
      <c r="A17" s="3124" t="s">
        <v>1622</v>
      </c>
      <c r="B17" s="3124"/>
      <c r="C17" s="3124"/>
      <c r="D17" s="3124"/>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2"/>
      <c r="C20" s="3122"/>
      <c r="D20" s="3122"/>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1623</v>
      </c>
      <c r="B22" s="3126"/>
      <c r="C22" s="3126"/>
      <c r="D22" s="312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6" t="s">
        <v>1634</v>
      </c>
      <c r="B15" s="3131" t="s">
        <v>136</v>
      </c>
      <c r="C15" s="3132"/>
    </row>
    <row r="16" spans="1:7" ht="13.5">
      <c r="A16" s="3137"/>
      <c r="B16" s="3131" t="s">
        <v>69</v>
      </c>
      <c r="C16" s="3132"/>
    </row>
    <row r="17" spans="1:3" ht="13.5">
      <c r="A17" s="3137"/>
      <c r="B17" s="3134" t="s">
        <v>1635</v>
      </c>
      <c r="C17" s="1716" t="s">
        <v>1634</v>
      </c>
    </row>
    <row r="18" spans="1:3" ht="13.5">
      <c r="A18" s="3137"/>
      <c r="B18" s="3134"/>
      <c r="C18" s="1716" t="s">
        <v>1636</v>
      </c>
    </row>
    <row r="19" spans="1:3" ht="13.5">
      <c r="A19" s="3137"/>
      <c r="B19" s="3134"/>
      <c r="C19" s="1716" t="s">
        <v>1637</v>
      </c>
    </row>
    <row r="20" spans="1:3" ht="13.5">
      <c r="A20" s="3138"/>
      <c r="B20" s="3133" t="s">
        <v>1638</v>
      </c>
      <c r="C20" s="3132"/>
    </row>
    <row r="21" spans="1:3" ht="13.5">
      <c r="A21" s="1717" t="s">
        <v>1639</v>
      </c>
      <c r="B21" s="1718"/>
      <c r="C21" s="1719"/>
    </row>
    <row r="22" spans="1:3" ht="13.5">
      <c r="A22" s="3135" t="s">
        <v>1640</v>
      </c>
      <c r="B22" s="3133" t="s">
        <v>1641</v>
      </c>
      <c r="C22" s="3132"/>
    </row>
    <row r="23" spans="1:3" ht="13.5">
      <c r="A23" s="3135"/>
      <c r="B23" s="3133" t="s">
        <v>1642</v>
      </c>
      <c r="C23" s="3132"/>
    </row>
    <row r="24" spans="1:3" ht="13.5">
      <c r="A24" s="3135"/>
      <c r="B24" s="3133" t="s">
        <v>1643</v>
      </c>
      <c r="C24" s="3132"/>
    </row>
    <row r="25" spans="1:3" ht="13.5">
      <c r="A25" s="3135"/>
      <c r="B25" s="3134" t="s">
        <v>1644</v>
      </c>
      <c r="C25" s="1716" t="s">
        <v>1645</v>
      </c>
    </row>
    <row r="26" spans="1:3" ht="13.5">
      <c r="A26" s="3135"/>
      <c r="B26" s="3134"/>
      <c r="C26" s="1716" t="s">
        <v>1646</v>
      </c>
    </row>
    <row r="27" spans="1:3" ht="13.5">
      <c r="A27" s="3135"/>
      <c r="B27" s="3134"/>
      <c r="C27" s="1716" t="s">
        <v>1647</v>
      </c>
    </row>
    <row r="28" spans="1:3" ht="13.5">
      <c r="A28" s="3135"/>
      <c r="B28" s="3134"/>
      <c r="C28" s="1716" t="s">
        <v>1648</v>
      </c>
    </row>
    <row r="29" spans="1:3" ht="13.5">
      <c r="A29" s="3135"/>
      <c r="B29" s="3134"/>
      <c r="C29" s="1716" t="s">
        <v>1649</v>
      </c>
    </row>
    <row r="30" spans="1:3" ht="13.5">
      <c r="A30" s="3135"/>
      <c r="B30" s="3134"/>
      <c r="C30" s="1716" t="s">
        <v>1650</v>
      </c>
    </row>
    <row r="31" spans="1:3" ht="13.5">
      <c r="A31" s="3135"/>
      <c r="B31" s="3134"/>
      <c r="C31" s="1716" t="s">
        <v>1651</v>
      </c>
    </row>
    <row r="32" spans="1:3" ht="13.5">
      <c r="A32" s="3135"/>
      <c r="B32" s="3134"/>
      <c r="C32" s="1716" t="s">
        <v>1652</v>
      </c>
    </row>
    <row r="33" spans="1:3" ht="13.5">
      <c r="A33" s="3135"/>
      <c r="B33" s="313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44517</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9" t="s">
        <v>2901</v>
      </c>
      <c r="B17" s="3139"/>
      <c r="C17" s="3139"/>
      <c r="D17" s="3139"/>
      <c r="E17" s="3139"/>
      <c r="F17" s="3139"/>
      <c r="G17" s="3139"/>
      <c r="H17" s="3139"/>
    </row>
    <row r="18" spans="1:8" ht="24" customHeight="1">
      <c r="A18" s="3140" t="s">
        <v>2902</v>
      </c>
      <c r="B18" s="3140"/>
      <c r="C18" s="3140"/>
      <c r="D18" s="2565"/>
      <c r="E18" s="3141" t="s">
        <v>2903</v>
      </c>
      <c r="F18" s="3140"/>
      <c r="G18" s="3140"/>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 (地下车库)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(地下车库)'!Print_Area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2021-11-17T07:58:43Z</dcterms:modified>
</cp:coreProperties>
</file>