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2024\雄安\2024\2024-1-0863东牛村、北庄村、西牛村\F23河北大发纸业有限公司22771.17-国有出让-东牛村-报告出20250307\"/>
    </mc:Choice>
  </mc:AlternateContent>
  <xr:revisionPtr revIDLastSave="0" documentId="13_ncr:1_{48074631-605F-4F1D-9204-59CC83832EBC}" xr6:coauthVersionLast="47" xr6:coauthVersionMax="47" xr10:uidLastSave="{00000000-0000-0000-0000-000000000000}"/>
  <bookViews>
    <workbookView xWindow="-120" yWindow="-120" windowWidth="21840" windowHeight="13140" tabRatio="875" firstSheet="13" activeTab="4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036-成本逼近法（出让）" sheetId="83" r:id="rId46"/>
    <sheet name="009-成本逼近法（出让" sheetId="84" r:id="rId47"/>
    <sheet name="0071-成本逼近法（出让）" sheetId="85" r:id="rId48"/>
    <sheet name="0072-成本逼近法（出让）" sheetId="86" r:id="rId49"/>
    <sheet name="成本逼近法（051）" sheetId="77" state="hidden" r:id="rId50"/>
    <sheet name="成本逼近法（0011）" sheetId="78" state="hidden" r:id="rId51"/>
    <sheet name="Sheet1" sheetId="68" state="hidden" r:id="rId52"/>
  </sheets>
  <externalReferences>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7">'[1]不动产比较法-办公'!$B$119:$M$119</definedName>
    <definedName name="办公层高" localSheetId="48">'[1]不动产比较法-办公'!$B$119:$M$119</definedName>
    <definedName name="办公层高" localSheetId="46">'[1]不动产比较法-办公'!$B$119:$M$119</definedName>
    <definedName name="办公层高" localSheetId="45">'[1]不动产比较法-办公'!$B$119:$M$119</definedName>
    <definedName name="办公层高">'不动产比较法-办公'!$B$119:$M$119</definedName>
    <definedName name="办公朝向" localSheetId="47">'[1]不动产比较法-办公'!$B$91:$M$91</definedName>
    <definedName name="办公朝向" localSheetId="48">'[1]不动产比较法-办公'!$B$91:$M$91</definedName>
    <definedName name="办公朝向" localSheetId="46">'[1]不动产比较法-办公'!$B$91:$M$91</definedName>
    <definedName name="办公朝向" localSheetId="45">'[1]不动产比较法-办公'!$B$91:$M$91</definedName>
    <definedName name="办公朝向">'不动产比较法-办公'!$B$91:$M$91</definedName>
    <definedName name="办公道路级别" localSheetId="47">'[1]不动产比较法-办公'!$B$87:$M$87</definedName>
    <definedName name="办公道路级别" localSheetId="48">'[1]不动产比较法-办公'!$B$87:$M$87</definedName>
    <definedName name="办公道路级别" localSheetId="46">'[1]不动产比较法-办公'!$B$87:$M$87</definedName>
    <definedName name="办公道路级别" localSheetId="45">'[1]不动产比较法-办公'!$B$87:$M$87</definedName>
    <definedName name="办公道路级别">'不动产比较法-办公'!$B$87:$M$87</definedName>
    <definedName name="办公公共部分装修" localSheetId="47">'[1]不动产比较法-办公'!$B$108:$M$108</definedName>
    <definedName name="办公公共部分装修" localSheetId="48">'[1]不动产比较法-办公'!$B$108:$M$108</definedName>
    <definedName name="办公公共部分装修" localSheetId="46">'[1]不动产比较法-办公'!$B$108:$M$108</definedName>
    <definedName name="办公公共部分装修" localSheetId="45">'[1]不动产比较法-办公'!$B$108:$M$108</definedName>
    <definedName name="办公公共部分装修">'不动产比较法-办公'!$B$108:$M$108</definedName>
    <definedName name="办公基础设施水平" localSheetId="47">'[1]不动产比较法-办公'!$B$117:$M$117</definedName>
    <definedName name="办公基础设施水平" localSheetId="48">'[1]不动产比较法-办公'!$B$117:$M$117</definedName>
    <definedName name="办公基础设施水平" localSheetId="46">'[1]不动产比较法-办公'!$B$117:$M$117</definedName>
    <definedName name="办公基础设施水平" localSheetId="45">'[1]不动产比较法-办公'!$B$117:$M$117</definedName>
    <definedName name="办公基础设施水平">'不动产比较法-办公'!$B$117:$M$117</definedName>
    <definedName name="办公集聚程度" localSheetId="47">[1]定义!$M$1:$M$6</definedName>
    <definedName name="办公集聚程度" localSheetId="48">[1]定义!$M$1:$M$6</definedName>
    <definedName name="办公集聚程度" localSheetId="46">[1]定义!$M$1:$M$6</definedName>
    <definedName name="办公集聚程度" localSheetId="45">[1]定义!$M$1:$M$6</definedName>
    <definedName name="办公集聚程度">定义!$M$1:$M$6</definedName>
    <definedName name="办公建筑结构" localSheetId="47">'[1]不动产比较法-办公'!$B$106:$M$106</definedName>
    <definedName name="办公建筑结构" localSheetId="48">'[1]不动产比较法-办公'!$B$106:$M$106</definedName>
    <definedName name="办公建筑结构" localSheetId="46">'[1]不动产比较法-办公'!$B$106:$M$106</definedName>
    <definedName name="办公建筑结构" localSheetId="45">'[1]不动产比较法-办公'!$B$106:$M$106</definedName>
    <definedName name="办公建筑结构">'不动产比较法-办公'!$B$106:$M$106</definedName>
    <definedName name="办公建筑类型" localSheetId="47">'[1]不动产比较法-办公'!$B$101:$M$101</definedName>
    <definedName name="办公建筑类型" localSheetId="48">'[1]不动产比较法-办公'!$B$101:$M$101</definedName>
    <definedName name="办公建筑类型" localSheetId="46">'[1]不动产比较法-办公'!$B$101:$M$101</definedName>
    <definedName name="办公建筑类型" localSheetId="45">'[1]不动产比较法-办公'!$B$101:$M$101</definedName>
    <definedName name="办公建筑类型">'不动产比较法-办公'!$B$101:$M$101</definedName>
    <definedName name="办公交易情况" localSheetId="47">'[1]不动产比较法-办公'!$A$62:$M$62</definedName>
    <definedName name="办公交易情况" localSheetId="48">'[1]不动产比较法-办公'!$A$62:$M$62</definedName>
    <definedName name="办公交易情况" localSheetId="46">'[1]不动产比较法-办公'!$A$62:$M$62</definedName>
    <definedName name="办公交易情况" localSheetId="45">'[1]不动产比较法-办公'!$A$62:$M$62</definedName>
    <definedName name="办公交易情况">'不动产比较法-办公'!$A$62:$M$62</definedName>
    <definedName name="办公楼层" localSheetId="47">'[1]不动产比较法-办公'!$B$89:$M$89</definedName>
    <definedName name="办公楼层" localSheetId="48">'[1]不动产比较法-办公'!$B$89:$M$89</definedName>
    <definedName name="办公楼层" localSheetId="46">'[1]不动产比较法-办公'!$B$89:$M$89</definedName>
    <definedName name="办公楼层" localSheetId="45">'[1]不动产比较法-办公'!$B$89:$M$89</definedName>
    <definedName name="办公楼层">'不动产比较法-办公'!$B$89:$M$89</definedName>
    <definedName name="办公内部装修" localSheetId="47">'[1]不动产比较法-办公'!$B$123:$M$123</definedName>
    <definedName name="办公内部装修" localSheetId="48">'[1]不动产比较法-办公'!$B$123:$M$123</definedName>
    <definedName name="办公内部装修" localSheetId="46">'[1]不动产比较法-办公'!$B$123:$M$123</definedName>
    <definedName name="办公内部装修" localSheetId="45">'[1]不动产比较法-办公'!$B$123:$M$123</definedName>
    <definedName name="办公内部装修">'不动产比较法-办公'!$B$123:$M$123</definedName>
    <definedName name="办公物业管理" localSheetId="47">'[1]不动产比较法-办公'!$B$115:$M$115</definedName>
    <definedName name="办公物业管理" localSheetId="48">'[1]不动产比较法-办公'!$B$115:$M$115</definedName>
    <definedName name="办公物业管理" localSheetId="46">'[1]不动产比较法-办公'!$B$115:$M$115</definedName>
    <definedName name="办公物业管理" localSheetId="45">'[1]不动产比较法-办公'!$B$115:$M$115</definedName>
    <definedName name="办公物业管理">'不动产比较法-办公'!$B$115:$M$115</definedName>
    <definedName name="办公用途" localSheetId="47">'[1]不动产比较法-办公'!$B$64:$M$64</definedName>
    <definedName name="办公用途" localSheetId="48">'[1]不动产比较法-办公'!$B$64:$M$64</definedName>
    <definedName name="办公用途" localSheetId="46">'[1]不动产比较法-办公'!$B$64:$M$64</definedName>
    <definedName name="办公用途" localSheetId="45">'[1]不动产比较法-办公'!$B$64:$M$64</definedName>
    <definedName name="办公用途">'不动产比较法-办公'!$B$64:$M$64</definedName>
    <definedName name="仓储公共部分装修" localSheetId="47">'[1]不动产比较法-仓储'!$B$77:$M$77</definedName>
    <definedName name="仓储公共部分装修" localSheetId="48">'[1]不动产比较法-仓储'!$B$77:$M$77</definedName>
    <definedName name="仓储公共部分装修" localSheetId="46">'[1]不动产比较法-仓储'!$B$77:$M$77</definedName>
    <definedName name="仓储公共部分装修" localSheetId="45">'[1]不动产比较法-仓储'!$B$77:$M$77</definedName>
    <definedName name="仓储公共部分装修">'不动产比较法-仓储'!$B$77:$M$77</definedName>
    <definedName name="仓储交易情况" localSheetId="47">'[1]不动产比较法-仓储'!$A$49:$M$49</definedName>
    <definedName name="仓储交易情况" localSheetId="48">'[1]不动产比较法-仓储'!$A$49:$M$49</definedName>
    <definedName name="仓储交易情况" localSheetId="46">'[1]不动产比较法-仓储'!$A$49:$M$49</definedName>
    <definedName name="仓储交易情况" localSheetId="45">'[1]不动产比较法-仓储'!$A$49:$M$49</definedName>
    <definedName name="仓储交易情况">'不动产比较法-仓储'!$A$49:$M$49</definedName>
    <definedName name="仓储楼层" localSheetId="47">'[1]不动产比较法-仓储'!$B$69:$M$69</definedName>
    <definedName name="仓储楼层" localSheetId="48">'[1]不动产比较法-仓储'!$B$69:$M$69</definedName>
    <definedName name="仓储楼层" localSheetId="46">'[1]不动产比较法-仓储'!$B$69:$M$69</definedName>
    <definedName name="仓储楼层" localSheetId="45">'[1]不动产比较法-仓储'!$B$69:$M$69</definedName>
    <definedName name="仓储楼层">'不动产比较法-仓储'!$B$69:$M$69</definedName>
    <definedName name="仓储物业等级" localSheetId="47">'[1]不动产比较法-仓储'!$B$82:$M$82</definedName>
    <definedName name="仓储物业等级" localSheetId="48">'[1]不动产比较法-仓储'!$B$82:$M$82</definedName>
    <definedName name="仓储物业等级" localSheetId="46">'[1]不动产比较法-仓储'!$B$82:$M$82</definedName>
    <definedName name="仓储物业等级" localSheetId="45">'[1]不动产比较法-仓储'!$B$82:$M$82</definedName>
    <definedName name="仓储物业等级">'不动产比较法-仓储'!$B$82:$M$82</definedName>
    <definedName name="仓储用途" localSheetId="47">'[1]不动产比较法-仓储'!$B$51:$M$51</definedName>
    <definedName name="仓储用途" localSheetId="48">'[1]不动产比较法-仓储'!$B$51:$M$51</definedName>
    <definedName name="仓储用途" localSheetId="46">'[1]不动产比较法-仓储'!$B$51:$M$51</definedName>
    <definedName name="仓储用途" localSheetId="45">'[1]不动产比较法-仓储'!$B$51:$M$51</definedName>
    <definedName name="仓储用途">'不动产比较法-仓储'!$B$51:$M$51</definedName>
    <definedName name="产业集聚程度" localSheetId="47">[1]定义!$N$1:$N$6</definedName>
    <definedName name="产业集聚程度" localSheetId="48">[1]定义!$N$1:$N$6</definedName>
    <definedName name="产业集聚程度" localSheetId="46">[1]定义!$N$1:$N$6</definedName>
    <definedName name="产业集聚程度" localSheetId="45">[1]定义!$N$1:$N$6</definedName>
    <definedName name="产业集聚程度">定义!$N$1:$N$6</definedName>
    <definedName name="车位公共部分装修" localSheetId="47">'[1]不动产比较法-车位'!$B$83:$M$83</definedName>
    <definedName name="车位公共部分装修" localSheetId="48">'[1]不动产比较法-车位'!$B$83:$M$83</definedName>
    <definedName name="车位公共部分装修" localSheetId="46">'[1]不动产比较法-车位'!$B$83:$M$83</definedName>
    <definedName name="车位公共部分装修" localSheetId="45">'[1]不动产比较法-车位'!$B$83:$M$83</definedName>
    <definedName name="车位公共部分装修">'不动产比较法-车位'!$B$83:$M$83</definedName>
    <definedName name="车位交易情况" localSheetId="47">'[1]不动产比较法-车位'!$A$51:$M$51</definedName>
    <definedName name="车位交易情况" localSheetId="48">'[1]不动产比较法-车位'!$A$51:$M$51</definedName>
    <definedName name="车位交易情况" localSheetId="46">'[1]不动产比较法-车位'!$A$51:$M$51</definedName>
    <definedName name="车位交易情况" localSheetId="45">'[1]不动产比较法-车位'!$A$51:$M$51</definedName>
    <definedName name="车位交易情况">'不动产比较法-车位'!$A$51:$M$51</definedName>
    <definedName name="车位类型" localSheetId="47">'[1]不动产比较法-车位'!$B$93:$M$93</definedName>
    <definedName name="车位类型" localSheetId="48">'[1]不动产比较法-车位'!$B$93:$M$93</definedName>
    <definedName name="车位类型" localSheetId="46">'[1]不动产比较法-车位'!$B$93:$M$93</definedName>
    <definedName name="车位类型" localSheetId="45">'[1]不动产比较法-车位'!$B$93:$M$93</definedName>
    <definedName name="车位类型">'不动产比较法-车位'!$B$93:$M$93</definedName>
    <definedName name="车位楼层" localSheetId="47">'[1]不动产比较法-车位'!$B$71:$M$71</definedName>
    <definedName name="车位楼层" localSheetId="48">'[1]不动产比较法-车位'!$B$71:$M$71</definedName>
    <definedName name="车位楼层" localSheetId="46">'[1]不动产比较法-车位'!$B$71:$M$71</definedName>
    <definedName name="车位楼层" localSheetId="45">'[1]不动产比较法-车位'!$B$71:$M$71</definedName>
    <definedName name="车位楼层">'不动产比较法-车位'!$B$71:$M$71</definedName>
    <definedName name="车位配套类型" localSheetId="47">'[1]不动产比较法-车位'!$B$79:$M$79</definedName>
    <definedName name="车位配套类型" localSheetId="48">'[1]不动产比较法-车位'!$B$79:$M$79</definedName>
    <definedName name="车位配套类型" localSheetId="46">'[1]不动产比较法-车位'!$B$79:$M$79</definedName>
    <definedName name="车位配套类型" localSheetId="45">'[1]不动产比较法-车位'!$B$79:$M$79</definedName>
    <definedName name="车位配套类型">'不动产比较法-车位'!$B$79:$M$79</definedName>
    <definedName name="车位物业等级" localSheetId="47">'[1]不动产比较法-车位'!$B$88:$M$88</definedName>
    <definedName name="车位物业等级" localSheetId="48">'[1]不动产比较法-车位'!$B$88:$M$88</definedName>
    <definedName name="车位物业等级" localSheetId="46">'[1]不动产比较法-车位'!$B$88:$M$88</definedName>
    <definedName name="车位物业等级" localSheetId="45">'[1]不动产比较法-车位'!$B$88:$M$88</definedName>
    <definedName name="车位物业等级">'不动产比较法-车位'!$B$88:$M$88</definedName>
    <definedName name="车位用途" localSheetId="47">'[1]不动产比较法-车位'!$B$53:$M$53</definedName>
    <definedName name="车位用途" localSheetId="48">'[1]不动产比较法-车位'!$B$53:$M$53</definedName>
    <definedName name="车位用途" localSheetId="46">'[1]不动产比较法-车位'!$B$53:$M$53</definedName>
    <definedName name="车位用途" localSheetId="45">'[1]不动产比较法-车位'!$B$53:$M$53</definedName>
    <definedName name="车位用途">'不动产比较法-车位'!$B$53:$M$53</definedName>
    <definedName name="城镇土地纳税等级分级范围" localSheetId="47">'[1]数据-取费表'!$A$53:$A$63</definedName>
    <definedName name="城镇土地纳税等级分级范围" localSheetId="48">'[1]数据-取费表'!$A$53:$A$63</definedName>
    <definedName name="城镇土地纳税等级分级范围" localSheetId="46">'[1]数据-取费表'!$A$53:$A$63</definedName>
    <definedName name="城镇土地纳税等级分级范围" localSheetId="45">'[1]数据-取费表'!$A$53:$A$63</definedName>
    <definedName name="城镇土地纳税等级分级范围">'数据-取费表'!$A$53:$A$63</definedName>
    <definedName name="单价内涵" localSheetId="47">[1]定义!$V$1:$V$3</definedName>
    <definedName name="单价内涵" localSheetId="48">[1]定义!$V$1:$V$3</definedName>
    <definedName name="单价内涵" localSheetId="46">[1]定义!$V$1:$V$3</definedName>
    <definedName name="单价内涵" localSheetId="45">[1]定义!$V$1:$V$3</definedName>
    <definedName name="单价内涵">定义!$V$1:$V$3</definedName>
    <definedName name="地类判定" localSheetId="47">[1]定义!$H$1:$H$9</definedName>
    <definedName name="地类判定" localSheetId="48">[1]定义!$H$1:$H$9</definedName>
    <definedName name="地类判定" localSheetId="46">[1]定义!$H$1:$H$9</definedName>
    <definedName name="地类判定" localSheetId="45">[1]定义!$H$1:$H$9</definedName>
    <definedName name="地类判定">定义!$H$1:$H$9</definedName>
    <definedName name="二级">区片价!$J$1:$J$20</definedName>
    <definedName name="二级分类" localSheetId="47">[1]修正!$C$17:$C$39</definedName>
    <definedName name="二级分类" localSheetId="48">[1]修正!$C$17:$C$39</definedName>
    <definedName name="二级分类" localSheetId="46">[1]修正!$C$17:$C$39</definedName>
    <definedName name="二级分类" localSheetId="45">[1]修正!$C$17:$C$39</definedName>
    <definedName name="二级分类">修正!$C$17:$C$39</definedName>
    <definedName name="法定最高年限" localSheetId="47">[1]定义!$G$2:$G$4</definedName>
    <definedName name="法定最高年限" localSheetId="48">[1]定义!$G$2:$G$4</definedName>
    <definedName name="法定最高年限" localSheetId="46">[1]定义!$G$2:$G$4</definedName>
    <definedName name="法定最高年限" localSheetId="45">[1]定义!$G$2:$G$4</definedName>
    <definedName name="法定最高年限">定义!$G$2:$G$4</definedName>
    <definedName name="工业公共部分装修" localSheetId="47">'[1]不动产比较法-工业'!$B$95:$M$95</definedName>
    <definedName name="工业公共部分装修" localSheetId="48">'[1]不动产比较法-工业'!$B$95:$M$95</definedName>
    <definedName name="工业公共部分装修" localSheetId="46">'[1]不动产比较法-工业'!$B$95:$M$95</definedName>
    <definedName name="工业公共部分装修" localSheetId="45">'[1]不动产比较法-工业'!$B$95:$M$95</definedName>
    <definedName name="工业公共部分装修">'不动产比较法-工业'!$B$95:$M$95</definedName>
    <definedName name="工业基础设施水平" localSheetId="47">'[1]不动产比较法-工业'!$B$102:$M$102</definedName>
    <definedName name="工业基础设施水平" localSheetId="48">'[1]不动产比较法-工业'!$B$102:$M$102</definedName>
    <definedName name="工业基础设施水平" localSheetId="46">'[1]不动产比较法-工业'!$B$102:$M$102</definedName>
    <definedName name="工业基础设施水平" localSheetId="45">'[1]不动产比较法-工业'!$B$102:$M$102</definedName>
    <definedName name="工业基础设施水平">'不动产比较法-工业'!$B$102:$M$102</definedName>
    <definedName name="工业建筑结构" localSheetId="47">'[1]不动产比较法-工业'!$B$93:$M$93</definedName>
    <definedName name="工业建筑结构" localSheetId="48">'[1]不动产比较法-工业'!$B$93:$M$93</definedName>
    <definedName name="工业建筑结构" localSheetId="46">'[1]不动产比较法-工业'!$B$93:$M$93</definedName>
    <definedName name="工业建筑结构" localSheetId="45">'[1]不动产比较法-工业'!$B$93:$M$93</definedName>
    <definedName name="工业建筑结构">'不动产比较法-工业'!$B$93:$M$93</definedName>
    <definedName name="工业建筑类型" localSheetId="47">'[1]不动产比较法-工业'!$B$88:$M$88</definedName>
    <definedName name="工业建筑类型" localSheetId="48">'[1]不动产比较法-工业'!$B$88:$M$88</definedName>
    <definedName name="工业建筑类型" localSheetId="46">'[1]不动产比较法-工业'!$B$88:$M$88</definedName>
    <definedName name="工业建筑类型" localSheetId="45">'[1]不动产比较法-工业'!$B$88:$M$88</definedName>
    <definedName name="工业建筑类型">'不动产比较法-工业'!$B$88:$M$88</definedName>
    <definedName name="工业交易情况" localSheetId="47">'[1]不动产比较法-工业'!$A$55:$M$55</definedName>
    <definedName name="工业交易情况" localSheetId="48">'[1]不动产比较法-工业'!$A$55:$M$55</definedName>
    <definedName name="工业交易情况" localSheetId="46">'[1]不动产比较法-工业'!$A$55:$M$55</definedName>
    <definedName name="工业交易情况" localSheetId="45">'[1]不动产比较法-工业'!$A$55:$M$55</definedName>
    <definedName name="工业交易情况">'不动产比较法-工业'!$A$55:$M$55</definedName>
    <definedName name="工业内部装修" localSheetId="47">'[1]不动产比较法-工业'!$B$104:$M$104</definedName>
    <definedName name="工业内部装修" localSheetId="48">'[1]不动产比较法-工业'!$B$104:$M$104</definedName>
    <definedName name="工业内部装修" localSheetId="46">'[1]不动产比较法-工业'!$B$104:$M$104</definedName>
    <definedName name="工业内部装修" localSheetId="45">'[1]不动产比较法-工业'!$B$104:$M$104</definedName>
    <definedName name="工业内部装修">'不动产比较法-工业'!$B$104:$M$104</definedName>
    <definedName name="工业物业管理" localSheetId="47">'[1]不动产比较法-工业'!$B$100:$M$100</definedName>
    <definedName name="工业物业管理" localSheetId="48">'[1]不动产比较法-工业'!$B$100:$M$100</definedName>
    <definedName name="工业物业管理" localSheetId="46">'[1]不动产比较法-工业'!$B$100:$M$100</definedName>
    <definedName name="工业物业管理" localSheetId="45">'[1]不动产比较法-工业'!$B$100:$M$100</definedName>
    <definedName name="工业物业管理">'不动产比较法-工业'!$B$100:$M$100</definedName>
    <definedName name="工业用途" localSheetId="47">'[1]不动产比较法-工业'!$B$57:$M$57</definedName>
    <definedName name="工业用途" localSheetId="48">'[1]不动产比较法-工业'!$B$57:$M$57</definedName>
    <definedName name="工业用途" localSheetId="46">'[1]不动产比较法-工业'!$B$57:$M$57</definedName>
    <definedName name="工业用途" localSheetId="45">'[1]不动产比较法-工业'!$B$57:$M$57</definedName>
    <definedName name="工业用途">'不动产比较法-工业'!$B$57:$M$57</definedName>
    <definedName name="公共配套设施" localSheetId="47">[1]定义!$Q$1:$Q$6</definedName>
    <definedName name="公共配套设施" localSheetId="48">[1]定义!$Q$1:$Q$6</definedName>
    <definedName name="公共配套设施" localSheetId="46">[1]定义!$Q$1:$Q$6</definedName>
    <definedName name="公共配套设施" localSheetId="45">[1]定义!$Q$1:$Q$6</definedName>
    <definedName name="公共配套设施">定义!$Q$1:$Q$6</definedName>
    <definedName name="估价方法" localSheetId="47">[1]定义!$B$1:$B$50</definedName>
    <definedName name="估价方法" localSheetId="48">[1]定义!$B$1:$B$50</definedName>
    <definedName name="估价方法" localSheetId="46">[1]定义!$B$1:$B$50</definedName>
    <definedName name="估价方法" localSheetId="45">[1]定义!$B$1:$B$50</definedName>
    <definedName name="估价方法">定义!$B$1:$B$50</definedName>
    <definedName name="环境" localSheetId="47">[1]定义!$S$1:$S$6</definedName>
    <definedName name="环境" localSheetId="48">[1]定义!$S$1:$S$6</definedName>
    <definedName name="环境" localSheetId="46">[1]定义!$S$1:$S$6</definedName>
    <definedName name="环境" localSheetId="45">[1]定义!$S$1:$S$6</definedName>
    <definedName name="环境">定义!$S$1:$S$6</definedName>
    <definedName name="基础设施水平" localSheetId="47">[1]定义!$R$1:$R$6</definedName>
    <definedName name="基础设施水平" localSheetId="48">[1]定义!$R$1:$R$6</definedName>
    <definedName name="基础设施水平" localSheetId="46">[1]定义!$R$1:$R$6</definedName>
    <definedName name="基础设施水平" localSheetId="45">[1]定义!$R$1:$R$6</definedName>
    <definedName name="基础设施水平">定义!$R$1:$R$6</definedName>
    <definedName name="季度">基准地价!$N$19:$AB$19</definedName>
    <definedName name="季度2014">地价!$A$2:$A$27</definedName>
    <definedName name="价值类型2" localSheetId="47">[1]定义!$B$54:$B$56</definedName>
    <definedName name="价值类型2" localSheetId="48">[1]定义!$B$54:$B$56</definedName>
    <definedName name="价值类型2" localSheetId="46">[1]定义!$B$54:$B$56</definedName>
    <definedName name="价值类型2" localSheetId="45">[1]定义!$B$54:$B$56</definedName>
    <definedName name="价值类型2">定义!$B$54:$B$56</definedName>
    <definedName name="交通便捷度" localSheetId="47">[1]定义!$O$1:$O$6</definedName>
    <definedName name="交通便捷度" localSheetId="48">[1]定义!$O$1:$O$6</definedName>
    <definedName name="交通便捷度" localSheetId="46">[1]定义!$O$1:$O$6</definedName>
    <definedName name="交通便捷度" localSheetId="45">[1]定义!$O$1:$O$6</definedName>
    <definedName name="交通便捷度">定义!$O$1:$O$6</definedName>
    <definedName name="九级">区片价!$Q$1:$Q$46</definedName>
    <definedName name="居住社区成熟度" localSheetId="47">[1]定义!$K$1:$K$6</definedName>
    <definedName name="居住社区成熟度" localSheetId="48">[1]定义!$K$1:$K$6</definedName>
    <definedName name="居住社区成熟度" localSheetId="46">[1]定义!$K$1:$K$6</definedName>
    <definedName name="居住社区成熟度" localSheetId="45">[1]定义!$K$1:$K$6</definedName>
    <definedName name="居住社区成熟度">定义!$K$1:$K$6</definedName>
    <definedName name="类别" localSheetId="47">[1]定义!$J$1:$J$3</definedName>
    <definedName name="类别" localSheetId="48">[1]定义!$J$1:$J$3</definedName>
    <definedName name="类别" localSheetId="46">[1]定义!$J$1:$J$3</definedName>
    <definedName name="类别" localSheetId="45">[1]定义!$J$1:$J$3</definedName>
    <definedName name="类别">定义!$J$1:$J$3</definedName>
    <definedName name="临街状况" localSheetId="47">[1]定义!$T$1:$T$5</definedName>
    <definedName name="临街状况" localSheetId="48">[1]定义!$T$1:$T$5</definedName>
    <definedName name="临街状况" localSheetId="46">[1]定义!$T$1:$T$5</definedName>
    <definedName name="临街状况" localSheetId="45">[1]定义!$T$1:$T$5</definedName>
    <definedName name="临街状况">定义!$T$1:$T$5</definedName>
    <definedName name="六级">区片价!$N$1:$N$49</definedName>
    <definedName name="内部装修维护情况" localSheetId="47">[1]定义!$U$1:$U$6</definedName>
    <definedName name="内部装修维护情况" localSheetId="48">[1]定义!$U$1:$U$6</definedName>
    <definedName name="内部装修维护情况" localSheetId="46">[1]定义!$U$1:$U$6</definedName>
    <definedName name="内部装修维护情况" localSheetId="45">[1]定义!$U$1:$U$6</definedName>
    <definedName name="内部装修维护情况">定义!$U$1:$U$6</definedName>
    <definedName name="判定" localSheetId="47">[1]定义!$D$1:$D$4</definedName>
    <definedName name="判定" localSheetId="48">[1]定义!$D$1:$D$4</definedName>
    <definedName name="判定" localSheetId="46">[1]定义!$D$1:$D$4</definedName>
    <definedName name="判定" localSheetId="45">[1]定义!$D$1:$D$4</definedName>
    <definedName name="判定">定义!$D$1:$D$4</definedName>
    <definedName name="七级">区片价!$O$1:$O$49</definedName>
    <definedName name="七通一平" localSheetId="47">[1]修正!$A$6:$A$14</definedName>
    <definedName name="七通一平" localSheetId="48">[1]修正!$A$6:$A$14</definedName>
    <definedName name="七通一平" localSheetId="46">[1]修正!$A$6:$A$14</definedName>
    <definedName name="七通一平" localSheetId="45">[1]修正!$A$6:$A$14</definedName>
    <definedName name="七通一平">修正!$A$6:$A$14</definedName>
    <definedName name="区域土地利用方向" localSheetId="47">[1]定义!$P$1:$P$6</definedName>
    <definedName name="区域土地利用方向" localSheetId="48">[1]定义!$P$1:$P$6</definedName>
    <definedName name="区域土地利用方向" localSheetId="46">[1]定义!$P$1:$P$6</definedName>
    <definedName name="区域土地利用方向" localSheetId="45">[1]定义!$P$1:$P$6</definedName>
    <definedName name="区域土地利用方向">定义!$P$1:$P$6</definedName>
    <definedName name="三级">区片价!$K$1:$K$21</definedName>
    <definedName name="商业层高" localSheetId="47">'[1]不动产比较法-商业'!$B$116:$M$116</definedName>
    <definedName name="商业层高" localSheetId="48">'[1]不动产比较法-商业'!$B$116:$M$116</definedName>
    <definedName name="商业层高" localSheetId="46">'[1]不动产比较法-商业'!$B$116:$M$116</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7">[1]定义!$L$1:$L$6</definedName>
    <definedName name="商业繁华度" localSheetId="48">[1]定义!$L$1:$L$6</definedName>
    <definedName name="商业繁华度" localSheetId="46">[1]定义!$L$1:$L$6</definedName>
    <definedName name="商业繁华度" localSheetId="45">[1]定义!$L$1:$L$6</definedName>
    <definedName name="商业繁华度">定义!$L$1:$L$6</definedName>
    <definedName name="商业公共部分装修" localSheetId="47">'[1]不动产比较法-商业'!$B$107:$M$107</definedName>
    <definedName name="商业公共部分装修" localSheetId="48">'[1]不动产比较法-商业'!$B$107:$M$107</definedName>
    <definedName name="商业公共部分装修" localSheetId="46">'[1]不动产比较法-商业'!$B$107:$M$107</definedName>
    <definedName name="商业公共部分装修" localSheetId="45">'[1]不动产比较法-商业'!$B$107:$M$107</definedName>
    <definedName name="商业公共部分装修">'不动产比较法-商业'!$B$107:$M$107</definedName>
    <definedName name="商业基础设施水平" localSheetId="47">'[1]不动产比较法-商业'!$B$112:$M$112</definedName>
    <definedName name="商业基础设施水平" localSheetId="48">'[1]不动产比较法-商业'!$B$112:$M$112</definedName>
    <definedName name="商业基础设施水平" localSheetId="46">'[1]不动产比较法-商业'!$B$112:$M$112</definedName>
    <definedName name="商业基础设施水平" localSheetId="45">'[1]不动产比较法-商业'!$B$112:$M$112</definedName>
    <definedName name="商业基础设施水平">'不动产比较法-商业'!$B$112:$M$112</definedName>
    <definedName name="商业建筑结构" localSheetId="47">'[1]不动产比较法-商业'!$B$105:$M$105</definedName>
    <definedName name="商业建筑结构" localSheetId="48">'[1]不动产比较法-商业'!$B$105:$M$105</definedName>
    <definedName name="商业建筑结构" localSheetId="46">'[1]不动产比较法-商业'!$B$105:$M$105</definedName>
    <definedName name="商业建筑结构" localSheetId="45">'[1]不动产比较法-商业'!$B$105:$M$105</definedName>
    <definedName name="商业建筑结构">'不动产比较法-商业'!$B$105:$M$105</definedName>
    <definedName name="商业交易情况" localSheetId="47">'[1]不动产比较法-商业'!$A$61:$M$61</definedName>
    <definedName name="商业交易情况" localSheetId="48">'[1]不动产比较法-商业'!$A$61:$M$61</definedName>
    <definedName name="商业交易情况" localSheetId="46">'[1]不动产比较法-商业'!$A$61:$M$61</definedName>
    <definedName name="商业交易情况" localSheetId="45">'[1]不动产比较法-商业'!$A$61:$M$61</definedName>
    <definedName name="商业交易情况">'不动产比较法-商业'!$A$61:$M$61</definedName>
    <definedName name="商业街名称" localSheetId="47">[1]修正!$C$59:$C$119</definedName>
    <definedName name="商业街名称" localSheetId="48">[1]修正!$C$59:$C$119</definedName>
    <definedName name="商业街名称" localSheetId="46">[1]修正!$C$59:$C$119</definedName>
    <definedName name="商业街名称" localSheetId="45">[1]修正!$C$59:$C$119</definedName>
    <definedName name="商业街名称">修正!$C$59:$C$119</definedName>
    <definedName name="商业进深比" localSheetId="47">'[1]不动产比较法-商业'!$B$120:$M$120</definedName>
    <definedName name="商业进深比" localSheetId="48">'[1]不动产比较法-商业'!$B$120:$M$120</definedName>
    <definedName name="商业进深比" localSheetId="46">'[1]不动产比较法-商业'!$B$120:$M$120</definedName>
    <definedName name="商业进深比" localSheetId="45">'[1]不动产比较法-商业'!$B$120:$M$120</definedName>
    <definedName name="商业进深比">'不动产比较法-商业'!$B$120:$M$120</definedName>
    <definedName name="商业类型" localSheetId="47">'[1]不动产比较法-商业'!$B$100:$M$100</definedName>
    <definedName name="商业类型" localSheetId="48">'[1]不动产比较法-商业'!$B$100:$M$100</definedName>
    <definedName name="商业类型" localSheetId="46">'[1]不动产比较法-商业'!$B$100:$M$100</definedName>
    <definedName name="商业类型" localSheetId="45">'[1]不动产比较法-商业'!$B$100:$M$100</definedName>
    <definedName name="商业类型">'不动产比较法-商业'!$B$100:$M$100</definedName>
    <definedName name="商业临街状况" localSheetId="47">'[1]不动产比较法-商业'!$B$86:$M$86</definedName>
    <definedName name="商业临街状况" localSheetId="48">'[1]不动产比较法-商业'!$B$86:$M$86</definedName>
    <definedName name="商业临街状况" localSheetId="46">'[1]不动产比较法-商业'!$B$86:$M$86</definedName>
    <definedName name="商业临街状况" localSheetId="45">'[1]不动产比较法-商业'!$B$86:$M$86</definedName>
    <definedName name="商业临街状况">'不动产比较法-商业'!$B$86:$M$86</definedName>
    <definedName name="商业楼层" localSheetId="47">'[1]不动产比较法-商业'!$B$92:$M$92</definedName>
    <definedName name="商业楼层" localSheetId="48">'[1]不动产比较法-商业'!$B$92:$M$92</definedName>
    <definedName name="商业楼层" localSheetId="46">'[1]不动产比较法-商业'!$B$92:$M$92</definedName>
    <definedName name="商业楼层" localSheetId="45">'[1]不动产比较法-商业'!$B$92:$M$92</definedName>
    <definedName name="商业楼层">'不动产比较法-商业'!$B$92:$M$92</definedName>
    <definedName name="商业内部装修" localSheetId="47">'[1]不动产比较法-商业'!$B$122:$M$122</definedName>
    <definedName name="商业内部装修" localSheetId="48">'[1]不动产比较法-商业'!$B$122:$M$122</definedName>
    <definedName name="商业内部装修" localSheetId="46">'[1]不动产比较法-商业'!$B$122:$M$122</definedName>
    <definedName name="商业内部装修" localSheetId="45">'[1]不动产比较法-商业'!$B$122:$M$122</definedName>
    <definedName name="商业内部装修">'不动产比较法-商业'!$B$122:$M$122</definedName>
    <definedName name="商业人流量" localSheetId="47">'[1]不动产比较法-商业'!$B$90:$M$90</definedName>
    <definedName name="商业人流量" localSheetId="48">'[1]不动产比较法-商业'!$B$90:$M$90</definedName>
    <definedName name="商业人流量" localSheetId="46">'[1]不动产比较法-商业'!$B$90:$M$90</definedName>
    <definedName name="商业人流量" localSheetId="45">'[1]不动产比较法-商业'!$B$90:$M$90</definedName>
    <definedName name="商业人流量">'不动产比较法-商业'!$B$90:$M$90</definedName>
    <definedName name="商业业态" localSheetId="47">'[1]不动产比较法-商业'!$B$114:$M$114</definedName>
    <definedName name="商业业态" localSheetId="48">'[1]不动产比较法-商业'!$B$114:$M$114</definedName>
    <definedName name="商业业态" localSheetId="46">'[1]不动产比较法-商业'!$B$114:$M$114</definedName>
    <definedName name="商业业态" localSheetId="45">'[1]不动产比较法-商业'!$B$114:$M$114</definedName>
    <definedName name="商业业态">'不动产比较法-商业'!$B$114:$M$114</definedName>
    <definedName name="商业用途" localSheetId="47">'[1]不动产比较法-商业'!$B$63:$M$63</definedName>
    <definedName name="商业用途" localSheetId="48">'[1]不动产比较法-商业'!$B$63:$M$63</definedName>
    <definedName name="商业用途" localSheetId="46">'[1]不动产比较法-商业'!$B$63:$M$63</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7">'[1]不动产比较法-仓储'!$B$89:$M$89</definedName>
    <definedName name="是否封闭" localSheetId="48">'[1]不动产比较法-仓储'!$B$89:$M$89</definedName>
    <definedName name="是否封闭" localSheetId="46">'[1]不动产比较法-仓储'!$B$89:$M$89</definedName>
    <definedName name="是否封闭" localSheetId="45">'[1]不动产比较法-仓储'!$B$89:$M$89</definedName>
    <definedName name="是否封闭">'不动产比较法-仓储'!$B$89:$M$89</definedName>
    <definedName name="是否直接入户" localSheetId="47">'[1]不动产比较法-车位'!$B$95:$M$95</definedName>
    <definedName name="是否直接入户" localSheetId="48">'[1]不动产比较法-车位'!$B$95:$M$95</definedName>
    <definedName name="是否直接入户" localSheetId="46">'[1]不动产比较法-车位'!$B$95:$M$95</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7">'[1]比较法-工业'!$B$116:$M$116</definedName>
    <definedName name="套工工程地质条件" localSheetId="48">'[1]比较法-工业'!$B$116:$M$116</definedName>
    <definedName name="套工工程地质条件" localSheetId="46">'[1]比较法-工业'!$B$116:$M$116</definedName>
    <definedName name="套工工程地质条件" localSheetId="45">'[1]比较法-工业'!$B$116:$M$116</definedName>
    <definedName name="套工工程地质条件">'比较法-工业'!$B$116:$M$116</definedName>
    <definedName name="套工交易情况" localSheetId="47">'[1]比较法-住宅、综合'!$A$75:$M$75</definedName>
    <definedName name="套工交易情况" localSheetId="48">'[1]比较法-住宅、综合'!$A$75:$M$75</definedName>
    <definedName name="套工交易情况" localSheetId="46">'[1]比较法-住宅、综合'!$A$75:$M$75</definedName>
    <definedName name="套工交易情况" localSheetId="45">'[1]比较法-住宅、综合'!$A$75:$M$75</definedName>
    <definedName name="套工交易情况">'比较法-住宅、综合'!$A$75:$M$75</definedName>
    <definedName name="套工开发程度" localSheetId="47">'[1]比较法-工业'!$B$114:$M$114</definedName>
    <definedName name="套工开发程度" localSheetId="48">'[1]比较法-工业'!$B$114:$M$114</definedName>
    <definedName name="套工开发程度" localSheetId="46">'[1]比较法-工业'!$B$114:$M$114</definedName>
    <definedName name="套工开发程度" localSheetId="45">'[1]比较法-工业'!$B$114:$M$114</definedName>
    <definedName name="套工开发程度">'比较法-工业'!$B$114:$M$114</definedName>
    <definedName name="套工临街等级" localSheetId="47">'[1]比较法-工业'!$B$99:$M$99</definedName>
    <definedName name="套工临街等级" localSheetId="48">'[1]比较法-工业'!$B$99:$M$99</definedName>
    <definedName name="套工临街等级" localSheetId="46">'[1]比较法-工业'!$B$99:$M$99</definedName>
    <definedName name="套工临街等级" localSheetId="45">'[1]比较法-工业'!$B$99:$M$99</definedName>
    <definedName name="套工临街等级">'比较法-工业'!$B$99:$M$99</definedName>
    <definedName name="套工土地级别" localSheetId="47">'[1]比较法-工业'!$B$101:$M$101</definedName>
    <definedName name="套工土地级别" localSheetId="48">'[1]比较法-工业'!$B$101:$M$101</definedName>
    <definedName name="套工土地级别" localSheetId="46">'[1]比较法-工业'!$B$101:$M$101</definedName>
    <definedName name="套工土地级别" localSheetId="45">'[1]比较法-工业'!$B$101:$M$101</definedName>
    <definedName name="套工土地级别">'比较法-工业'!$B$101:$M$101</definedName>
    <definedName name="套工用途" localSheetId="47">'[1]比较法-工业'!$B$72:$M$72</definedName>
    <definedName name="套工用途" localSheetId="48">'[1]比较法-工业'!$B$72:$M$72</definedName>
    <definedName name="套工用途" localSheetId="46">'[1]比较法-工业'!$B$72:$M$72</definedName>
    <definedName name="套工用途" localSheetId="45">'[1]比较法-工业'!$B$72:$M$72</definedName>
    <definedName name="套工用途">'比较法-工业'!$B$72:$M$72</definedName>
    <definedName name="套工宗地形状" localSheetId="47">'[1]比较法-工业'!$B$112:$M$112</definedName>
    <definedName name="套工宗地形状" localSheetId="48">'[1]比较法-工业'!$B$112:$M$112</definedName>
    <definedName name="套工宗地形状" localSheetId="46">'[1]比较法-工业'!$B$112:$M$112</definedName>
    <definedName name="套工宗地形状" localSheetId="45">'[1]比较法-工业'!$B$112:$M$112</definedName>
    <definedName name="套工宗地形状">'比较法-工业'!$B$112:$M$112</definedName>
    <definedName name="套综道路等级" localSheetId="47">'[1]比较法-住宅、综合'!$B$108:$M$108</definedName>
    <definedName name="套综道路等级" localSheetId="48">'[1]比较法-住宅、综合'!$B$108:$M$108</definedName>
    <definedName name="套综道路等级" localSheetId="46">'[1]比较法-住宅、综合'!$B$108:$M$108</definedName>
    <definedName name="套综道路等级" localSheetId="45">'[1]比较法-住宅、综合'!$B$108:$M$108</definedName>
    <definedName name="套综道路等级">'比较法-住宅、综合'!$B$108:$M$108</definedName>
    <definedName name="套综工程地质条件" localSheetId="47">'[1]比较法-住宅、综合'!$B$127:$M$127</definedName>
    <definedName name="套综工程地质条件" localSheetId="48">'[1]比较法-住宅、综合'!$B$127:$M$127</definedName>
    <definedName name="套综工程地质条件" localSheetId="46">'[1]比较法-住宅、综合'!$B$127:$M$127</definedName>
    <definedName name="套综工程地质条件" localSheetId="45">'[1]比较法-住宅、综合'!$B$127:$M$127</definedName>
    <definedName name="套综工程地质条件">'比较法-住宅、综合'!$B$127:$M$127</definedName>
    <definedName name="套综交易情况" localSheetId="47">'[1]比较法-住宅、综合'!$A$75:$M$75</definedName>
    <definedName name="套综交易情况" localSheetId="48">'[1]比较法-住宅、综合'!$A$75:$M$75</definedName>
    <definedName name="套综交易情况" localSheetId="46">'[1]比较法-住宅、综合'!$A$75:$M$75</definedName>
    <definedName name="套综交易情况" localSheetId="45">'[1]比较法-住宅、综合'!$A$75:$M$75</definedName>
    <definedName name="套综交易情况">'比较法-住宅、综合'!$A$75:$M$75</definedName>
    <definedName name="套综临街宽度及深度" localSheetId="47">'[1]比较法-住宅、综合'!$B$123:$M$123</definedName>
    <definedName name="套综临街宽度及深度" localSheetId="48">'[1]比较法-住宅、综合'!$B$123:$M$123</definedName>
    <definedName name="套综临街宽度及深度" localSheetId="46">'[1]比较法-住宅、综合'!$B$123:$M$123</definedName>
    <definedName name="套综临街宽度及深度" localSheetId="45">'[1]比较法-住宅、综合'!$B$123:$M$123</definedName>
    <definedName name="套综临街宽度及深度">'比较法-住宅、综合'!$B$123:$M$123</definedName>
    <definedName name="套综土地级别" localSheetId="47">'[1]比较法-住宅、综合'!$B$110:$M$110</definedName>
    <definedName name="套综土地级别" localSheetId="48">'[1]比较法-住宅、综合'!$B$110:$M$110</definedName>
    <definedName name="套综土地级别" localSheetId="46">'[1]比较法-住宅、综合'!$B$110:$M$110</definedName>
    <definedName name="套综土地级别" localSheetId="45">'[1]比较法-住宅、综合'!$B$110:$M$110</definedName>
    <definedName name="套综土地级别">'比较法-住宅、综合'!$B$110:$M$110</definedName>
    <definedName name="套综用途" localSheetId="47">'[1]比较法-住宅、综合'!$B$77:$M$77</definedName>
    <definedName name="套综用途" localSheetId="48">'[1]比较法-住宅、综合'!$B$77:$M$77</definedName>
    <definedName name="套综用途" localSheetId="46">'[1]比较法-住宅、综合'!$B$77:$M$77</definedName>
    <definedName name="套综用途" localSheetId="45">'[1]比较法-住宅、综合'!$B$77:$M$77</definedName>
    <definedName name="套综用途">'比较法-住宅、综合'!$B$77:$M$77</definedName>
    <definedName name="套综宗地内开发程度" localSheetId="47">'[1]比较法-住宅、综合'!$B$125:$M$125</definedName>
    <definedName name="套综宗地内开发程度" localSheetId="48">'[1]比较法-住宅、综合'!$B$125:$M$125</definedName>
    <definedName name="套综宗地内开发程度" localSheetId="46">'[1]比较法-住宅、综合'!$B$125:$M$125</definedName>
    <definedName name="套综宗地内开发程度" localSheetId="45">'[1]比较法-住宅、综合'!$B$125:$M$125</definedName>
    <definedName name="套综宗地内开发程度">'比较法-住宅、综合'!$B$125:$M$125</definedName>
    <definedName name="套综宗地形状" localSheetId="47">'[1]比较法-住宅、综合'!$B$121:$M$121</definedName>
    <definedName name="套综宗地形状" localSheetId="48">'[1]比较法-住宅、综合'!$B$121:$M$121</definedName>
    <definedName name="套综宗地形状" localSheetId="46">'[1]比较法-住宅、综合'!$B$121:$M$121</definedName>
    <definedName name="套综宗地形状" localSheetId="45">'[1]比较法-住宅、综合'!$B$121:$M$121</definedName>
    <definedName name="套综宗地形状">'比较法-住宅、综合'!$B$121:$M$121</definedName>
    <definedName name="土地估价师" localSheetId="47">[1]估价师及机构信息!$D$3:$D$24</definedName>
    <definedName name="土地估价师" localSheetId="48">[1]估价师及机构信息!$D$3:$D$24</definedName>
    <definedName name="土地估价师" localSheetId="46">[1]估价师及机构信息!$D$3:$D$24</definedName>
    <definedName name="土地估价师" localSheetId="45">[1]估价师及机构信息!$D$3:$D$24</definedName>
    <definedName name="土地估价师">估价师及机构信息!$D$3:$D$24</definedName>
    <definedName name="土地级别" localSheetId="47">[1]定义!$C$1:$C$14</definedName>
    <definedName name="土地级别" localSheetId="48">[1]定义!$C$1:$C$14</definedName>
    <definedName name="土地级别" localSheetId="46">[1]定义!$C$1:$C$14</definedName>
    <definedName name="土地级别" localSheetId="45">[1]定义!$C$1:$C$14</definedName>
    <definedName name="土地级别">定义!$C$1:$C$14</definedName>
    <definedName name="土地利用方向">定义!$P$1:$P$6</definedName>
    <definedName name="土地年限区间" localSheetId="47">[1]定义!$I$1:$I$8</definedName>
    <definedName name="土地年限区间" localSheetId="48">[1]定义!$I$1:$I$8</definedName>
    <definedName name="土地年限区间" localSheetId="46">[1]定义!$I$1:$I$8</definedName>
    <definedName name="土地年限区间" localSheetId="45">[1]定义!$I$1:$I$8</definedName>
    <definedName name="土地年限区间">定义!$I$1:$I$8</definedName>
    <definedName name="位置" localSheetId="47">[1]定义!$E$2:$E$4</definedName>
    <definedName name="位置" localSheetId="48">[1]定义!$E$2:$E$4</definedName>
    <definedName name="位置" localSheetId="46">[1]定义!$E$2:$E$4</definedName>
    <definedName name="位置" localSheetId="45">[1]定义!$E$2:$E$4</definedName>
    <definedName name="位置">定义!$E$2:$E$4</definedName>
    <definedName name="五等判定" localSheetId="47">[1]定义!$W$1:$W$6</definedName>
    <definedName name="五等判定" localSheetId="48">[1]定义!$W$1:$W$6</definedName>
    <definedName name="五等判定" localSheetId="46">[1]定义!$W$1:$W$6</definedName>
    <definedName name="五等判定" localSheetId="45">[1]定义!$W$1:$W$6</definedName>
    <definedName name="五等判定">定义!$W$1:$W$6</definedName>
    <definedName name="五级">区片价!$M$1:$M$35</definedName>
    <definedName name="项目类型" localSheetId="47">'[1]数据-汇总表'!$C$17:$C$26</definedName>
    <definedName name="项目类型" localSheetId="48">'[1]数据-汇总表'!$C$17:$C$26</definedName>
    <definedName name="项目类型" localSheetId="46">'[1]数据-汇总表'!$C$17:$C$26</definedName>
    <definedName name="项目类型" localSheetId="45">'[1]数据-汇总表'!$C$17:$C$26</definedName>
    <definedName name="项目类型">'数据-汇总表'!$C$17:$C$26</definedName>
    <definedName name="写字楼等级" localSheetId="47">'[1]不动产比较法-办公'!$B$113:$M$113</definedName>
    <definedName name="写字楼等级" localSheetId="48">'[1]不动产比较法-办公'!$B$113:$M$113</definedName>
    <definedName name="写字楼等级" localSheetId="46">'[1]不动产比较法-办公'!$B$113:$M$113</definedName>
    <definedName name="写字楼等级" localSheetId="45">'[1]不动产比较法-办公'!$B$113:$M$113</definedName>
    <definedName name="写字楼等级">'不动产比较法-办公'!$B$113:$M$113</definedName>
    <definedName name="一级">区片价!$I$1:$I$6</definedName>
    <definedName name="一修多修正项2" localSheetId="47">[1]典型户型修正!$5:$5</definedName>
    <definedName name="一修多修正项2" localSheetId="48">[1]典型户型修正!$5:$5</definedName>
    <definedName name="一修多修正项2" localSheetId="46">[1]典型户型修正!$5:$5</definedName>
    <definedName name="一修多修正项2" localSheetId="45">[1]典型户型修正!$5:$5</definedName>
    <definedName name="一修多修正项2">典型户型修正!$5:$5</definedName>
    <definedName name="一修多修正项3" localSheetId="47">[1]典型户型修正!$7:$7</definedName>
    <definedName name="一修多修正项3" localSheetId="48">[1]典型户型修正!$7:$7</definedName>
    <definedName name="一修多修正项3" localSheetId="46">[1]典型户型修正!$7:$7</definedName>
    <definedName name="一修多修正项3" localSheetId="45">[1]典型户型修正!$7:$7</definedName>
    <definedName name="一修多修正项3">典型户型修正!$7:$7</definedName>
    <definedName name="一修多修正项4" localSheetId="47">[1]典型户型修正!$9:$9</definedName>
    <definedName name="一修多修正项4" localSheetId="48">[1]典型户型修正!$9:$9</definedName>
    <definedName name="一修多修正项4" localSheetId="46">[1]典型户型修正!$9:$9</definedName>
    <definedName name="一修多修正项4" localSheetId="45">[1]典型户型修正!$9:$9</definedName>
    <definedName name="一修多修正项4">典型户型修正!$9:$9</definedName>
    <definedName name="一修多修正项5" localSheetId="47">[1]典型户型修正!$11:$11</definedName>
    <definedName name="一修多修正项5" localSheetId="48">[1]典型户型修正!$11:$11</definedName>
    <definedName name="一修多修正项5" localSheetId="46">[1]典型户型修正!$11:$11</definedName>
    <definedName name="一修多修正项5" localSheetId="45">[1]典型户型修正!$11:$11</definedName>
    <definedName name="一修多修正项5">典型户型修正!$11:$11</definedName>
    <definedName name="一修多修正项6" localSheetId="47">[1]典型户型修正!$13:$13</definedName>
    <definedName name="一修多修正项6" localSheetId="48">[1]典型户型修正!$13:$13</definedName>
    <definedName name="一修多修正项6" localSheetId="46">[1]典型户型修正!$13:$13</definedName>
    <definedName name="一修多修正项6" localSheetId="45">[1]典型户型修正!$13:$13</definedName>
    <definedName name="一修多修正项6">典型户型修正!$13:$13</definedName>
    <definedName name="一修多修正项7" localSheetId="47">[1]典型户型修正!$15:$15</definedName>
    <definedName name="一修多修正项7" localSheetId="48">[1]典型户型修正!$15:$15</definedName>
    <definedName name="一修多修正项7" localSheetId="46">[1]典型户型修正!$15:$15</definedName>
    <definedName name="一修多修正项7" localSheetId="45">[1]典型户型修正!$15:$15</definedName>
    <definedName name="一修多修正项7">典型户型修正!$15:$15</definedName>
    <definedName name="一修多修正项8" localSheetId="47">[1]典型户型修正!$17:$17</definedName>
    <definedName name="一修多修正项8" localSheetId="48">[1]典型户型修正!$17:$17</definedName>
    <definedName name="一修多修正项8" localSheetId="46">[1]典型户型修正!$17:$17</definedName>
    <definedName name="一修多修正项8" localSheetId="45">[1]典型户型修正!$17:$17</definedName>
    <definedName name="一修多修正项8">典型户型修正!$17:$17</definedName>
    <definedName name="用途类型" localSheetId="47">[1]定义!$A$1:$A$50</definedName>
    <definedName name="用途类型" localSheetId="48">[1]定义!$A$1:$A$50</definedName>
    <definedName name="用途类型" localSheetId="46">[1]定义!$A$1:$A$50</definedName>
    <definedName name="用途类型" localSheetId="45">[1]定义!$A$1:$A$50</definedName>
    <definedName name="用途类型">定义!$A$1:$A$50</definedName>
    <definedName name="有无电梯" localSheetId="47">'[1]不动产比较法-仓储'!$B$84:$M$84</definedName>
    <definedName name="有无电梯" localSheetId="48">'[1]不动产比较法-仓储'!$B$84:$M$84</definedName>
    <definedName name="有无电梯" localSheetId="46">'[1]不动产比较法-仓储'!$B$84:$M$84</definedName>
    <definedName name="有无电梯" localSheetId="45">'[1]不动产比较法-仓储'!$B$84:$M$84</definedName>
    <definedName name="有无电梯">'不动产比较法-仓储'!$B$84:$M$84</definedName>
    <definedName name="主用途" localSheetId="47">[1]定义!$F$1:$F$10</definedName>
    <definedName name="主用途" localSheetId="48">[1]定义!$F$1:$F$10</definedName>
    <definedName name="主用途" localSheetId="46">[1]定义!$F$1:$F$10</definedName>
    <definedName name="主用途" localSheetId="45">[1]定义!$F$1:$F$10</definedName>
    <definedName name="主用途">定义!$F$1:$F$10</definedName>
    <definedName name="住宅朝向" localSheetId="47">'[1]不动产比较法-住宅'!$B$88:$M$88</definedName>
    <definedName name="住宅朝向" localSheetId="48">'[1]不动产比较法-住宅'!$B$88:$M$88</definedName>
    <definedName name="住宅朝向" localSheetId="46">'[1]不动产比较法-住宅'!$B$88:$M$88</definedName>
    <definedName name="住宅朝向" localSheetId="45">'[1]不动产比较法-住宅'!$B$88:$M$88</definedName>
    <definedName name="住宅朝向">'不动产比较法-住宅'!$B$88:$M$88</definedName>
    <definedName name="住宅房型" localSheetId="47">'[1]不动产比较法-住宅'!$B$118:$M$118</definedName>
    <definedName name="住宅房型" localSheetId="48">'[1]不动产比较法-住宅'!$B$118:$M$118</definedName>
    <definedName name="住宅房型" localSheetId="46">'[1]不动产比较法-住宅'!$B$118:$M$118</definedName>
    <definedName name="住宅房型" localSheetId="45">'[1]不动产比较法-住宅'!$B$118:$M$118</definedName>
    <definedName name="住宅房型">'不动产比较法-住宅'!$B$118:$M$118</definedName>
    <definedName name="住宅公共部分装修" localSheetId="47">'[1]不动产比较法-住宅'!$B$109:$M$109</definedName>
    <definedName name="住宅公共部分装修" localSheetId="48">'[1]不动产比较法-住宅'!$B$109:$M$109</definedName>
    <definedName name="住宅公共部分装修" localSheetId="46">'[1]不动产比较法-住宅'!$B$109:$M$109</definedName>
    <definedName name="住宅公共部分装修" localSheetId="45">'[1]不动产比较法-住宅'!$B$109:$M$109</definedName>
    <definedName name="住宅公共部分装修">'不动产比较法-住宅'!$B$109:$M$109</definedName>
    <definedName name="住宅基础设施水平" localSheetId="47">'[1]不动产比较法-住宅'!$B$116:$M$116</definedName>
    <definedName name="住宅基础设施水平" localSheetId="48">'[1]不动产比较法-住宅'!$B$116:$M$116</definedName>
    <definedName name="住宅基础设施水平" localSheetId="46">'[1]不动产比较法-住宅'!$B$116:$M$116</definedName>
    <definedName name="住宅基础设施水平" localSheetId="45">'[1]不动产比较法-住宅'!$B$116:$M$116</definedName>
    <definedName name="住宅基础设施水平">'不动产比较法-住宅'!$B$116:$M$116</definedName>
    <definedName name="住宅建筑结构" localSheetId="47">'[1]不动产比较法-住宅'!$B$105:$M$105</definedName>
    <definedName name="住宅建筑结构" localSheetId="48">'[1]不动产比较法-住宅'!$B$105:$M$105</definedName>
    <definedName name="住宅建筑结构" localSheetId="46">'[1]不动产比较法-住宅'!$B$105:$M$105</definedName>
    <definedName name="住宅建筑结构" localSheetId="45">'[1]不动产比较法-住宅'!$B$105:$M$105</definedName>
    <definedName name="住宅建筑结构">'不动产比较法-住宅'!$B$105:$M$105</definedName>
    <definedName name="住宅建筑类型" localSheetId="47">'[1]不动产比较法-住宅'!$B$100:$M$100</definedName>
    <definedName name="住宅建筑类型" localSheetId="48">'[1]不动产比较法-住宅'!$B$100:$M$100</definedName>
    <definedName name="住宅建筑类型" localSheetId="46">'[1]不动产比较法-住宅'!$B$100:$M$100</definedName>
    <definedName name="住宅建筑类型" localSheetId="45">'[1]不动产比较法-住宅'!$B$100:$M$100</definedName>
    <definedName name="住宅建筑类型">'不动产比较法-住宅'!$B$100:$M$100</definedName>
    <definedName name="住宅建筑品质" localSheetId="47">'[1]不动产比较法-住宅'!$B$107:$M$107</definedName>
    <definedName name="住宅建筑品质" localSheetId="48">'[1]不动产比较法-住宅'!$B$107:$M$107</definedName>
    <definedName name="住宅建筑品质" localSheetId="46">'[1]不动产比较法-住宅'!$B$107:$M$107</definedName>
    <definedName name="住宅建筑品质" localSheetId="45">'[1]不动产比较法-住宅'!$B$107:$M$107</definedName>
    <definedName name="住宅建筑品质">'不动产比较法-住宅'!$B$107:$M$107</definedName>
    <definedName name="住宅交易情况" localSheetId="47">'[1]不动产比较法-住宅'!$A$61:$M$61</definedName>
    <definedName name="住宅交易情况" localSheetId="48">'[1]不动产比较法-住宅'!$A$61:$M$61</definedName>
    <definedName name="住宅交易情况" localSheetId="46">'[1]不动产比较法-住宅'!$A$61:$M$61</definedName>
    <definedName name="住宅交易情况" localSheetId="45">'[1]不动产比较法-住宅'!$A$61:$M$61</definedName>
    <definedName name="住宅交易情况">'不动产比较法-住宅'!$A$61:$M$61</definedName>
    <definedName name="住宅楼层" localSheetId="47">'[1]不动产比较法-住宅'!$B$86:$M$86</definedName>
    <definedName name="住宅楼层" localSheetId="48">'[1]不动产比较法-住宅'!$B$86:$M$86</definedName>
    <definedName name="住宅楼层" localSheetId="46">'[1]不动产比较法-住宅'!$B$86:$M$86</definedName>
    <definedName name="住宅楼层" localSheetId="45">'[1]不动产比较法-住宅'!$B$86:$M$86</definedName>
    <definedName name="住宅楼层">'不动产比较法-住宅'!$B$86:$M$86</definedName>
    <definedName name="住宅内部装修" localSheetId="47">'[1]不动产比较法-住宅'!$B$122:$M$122</definedName>
    <definedName name="住宅内部装修" localSheetId="48">'[1]不动产比较法-住宅'!$B$122:$M$122</definedName>
    <definedName name="住宅内部装修" localSheetId="46">'[1]不动产比较法-住宅'!$B$122:$M$122</definedName>
    <definedName name="住宅内部装修" localSheetId="45">'[1]不动产比较法-住宅'!$B$122:$M$122</definedName>
    <definedName name="住宅内部装修">'不动产比较法-住宅'!$B$122:$M$122</definedName>
    <definedName name="住宅物业管理" localSheetId="47">'[1]不动产比较法-住宅'!$B$114:$M$114</definedName>
    <definedName name="住宅物业管理" localSheetId="48">'[1]不动产比较法-住宅'!$B$114:$M$114</definedName>
    <definedName name="住宅物业管理" localSheetId="46">'[1]不动产比较法-住宅'!$B$114:$M$114</definedName>
    <definedName name="住宅物业管理" localSheetId="45">'[1]不动产比较法-住宅'!$B$114:$M$114</definedName>
    <definedName name="住宅物业管理">'不动产比较法-住宅'!$B$114:$M$114</definedName>
    <definedName name="住宅用途" localSheetId="47">'[1]不动产比较法-住宅'!$B$63:$M$63</definedName>
    <definedName name="住宅用途" localSheetId="48">'[1]不动产比较法-住宅'!$B$63:$M$63</definedName>
    <definedName name="住宅用途" localSheetId="46">'[1]不动产比较法-住宅'!$B$63:$M$63</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J1" i="83" l="1"/>
  <c r="D15" i="66" l="1"/>
  <c r="C15" i="66"/>
  <c r="B29" i="86"/>
  <c r="C25" i="86" s="1"/>
  <c r="C21" i="86" s="1"/>
  <c r="I16" i="86"/>
  <c r="I11" i="86"/>
  <c r="I10" i="86" s="1"/>
  <c r="I9" i="86" s="1"/>
  <c r="B29" i="85"/>
  <c r="C25" i="85" s="1"/>
  <c r="C21" i="85" s="1"/>
  <c r="I16" i="85"/>
  <c r="I11" i="85"/>
  <c r="I10" i="85" s="1"/>
  <c r="I9" i="85" s="1"/>
  <c r="B29" i="84"/>
  <c r="C25" i="84" s="1"/>
  <c r="C21" i="84" s="1"/>
  <c r="I16" i="84"/>
  <c r="I11" i="84"/>
  <c r="I10" i="84" s="1"/>
  <c r="I9" i="84" s="1"/>
  <c r="I18" i="86" l="1"/>
  <c r="I17" i="86"/>
  <c r="I19" i="86" s="1"/>
  <c r="I18" i="85"/>
  <c r="I17" i="85"/>
  <c r="I19" i="85" s="1"/>
  <c r="I18" i="84"/>
  <c r="I17" i="84"/>
  <c r="I19" i="84" s="1"/>
  <c r="I16" i="83"/>
  <c r="B29" i="83"/>
  <c r="C25" i="83" s="1"/>
  <c r="C21" i="83" s="1"/>
  <c r="I11" i="83"/>
  <c r="I10" i="83" s="1"/>
  <c r="I9" i="83" s="1"/>
  <c r="I20" i="86" l="1"/>
  <c r="I23" i="86" s="1"/>
  <c r="B4" i="86" s="1"/>
  <c r="B2" i="86" s="1"/>
  <c r="B5" i="86" s="1"/>
  <c r="I20" i="85"/>
  <c r="I23" i="85" s="1"/>
  <c r="B4" i="85" s="1"/>
  <c r="B2" i="85" s="1"/>
  <c r="B5" i="85" s="1"/>
  <c r="I20" i="84"/>
  <c r="I23" i="84" s="1"/>
  <c r="B4" i="84" s="1"/>
  <c r="B2" i="84" s="1"/>
  <c r="B5" i="84" s="1"/>
  <c r="I17" i="83"/>
  <c r="I19" i="83" s="1"/>
  <c r="I18" i="83"/>
  <c r="I20" i="83" l="1"/>
  <c r="I23" i="83" s="1"/>
  <c r="B4" i="83" s="1"/>
  <c r="B2" i="83" s="1"/>
  <c r="B5" i="83" l="1"/>
  <c r="I3" i="59"/>
  <c r="L3" i="59"/>
  <c r="B27" i="79" l="1"/>
  <c r="B29" i="79" s="1"/>
  <c r="C25" i="79" s="1"/>
  <c r="C21" i="79" s="1"/>
  <c r="I11" i="79"/>
  <c r="I10" i="79" s="1"/>
  <c r="I9" i="79" s="1"/>
  <c r="I17" i="79" l="1"/>
  <c r="I18" i="79"/>
  <c r="I19" i="79" s="1"/>
  <c r="B27" i="69"/>
  <c r="B29" i="69" s="1"/>
  <c r="C25" i="69" s="1"/>
  <c r="C21" i="69"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C36" i="72"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C72" i="39"/>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F11" i="44"/>
  <c r="M26" i="15"/>
  <c r="M23" i="15"/>
  <c r="M10" i="44"/>
  <c r="E8" i="67"/>
  <c r="F9" i="15"/>
  <c r="M21" i="15"/>
  <c r="E13" i="67"/>
  <c r="B8" i="67"/>
  <c r="F40" i="15"/>
  <c r="F36" i="15"/>
  <c r="J36" i="15"/>
  <c r="I3" i="65"/>
  <c r="C20" i="9"/>
  <c r="L48" i="44"/>
  <c r="F35" i="15"/>
  <c r="F37" i="15"/>
  <c r="F9" i="67"/>
  <c r="M24" i="15"/>
  <c r="F8" i="15"/>
  <c r="E12" i="67"/>
  <c r="B11" i="67"/>
  <c r="N5" i="65"/>
  <c r="I5" i="65"/>
  <c r="F40" i="44"/>
  <c r="F6" i="15"/>
  <c r="B10" i="67"/>
  <c r="F12" i="67"/>
  <c r="M24" i="44"/>
  <c r="M6" i="15"/>
  <c r="L47" i="15"/>
  <c r="E14" i="67"/>
  <c r="J3" i="65"/>
  <c r="M9" i="15"/>
  <c r="F14" i="67"/>
  <c r="J6" i="65"/>
  <c r="F28" i="44"/>
  <c r="N4" i="65"/>
  <c r="I7" i="65"/>
  <c r="F13" i="67"/>
  <c r="F13" i="15"/>
  <c r="F45" i="44"/>
  <c r="M26" i="44"/>
  <c r="E10" i="67"/>
  <c r="F41" i="15"/>
  <c r="M27" i="15"/>
  <c r="I6" i="65"/>
  <c r="M22" i="15"/>
  <c r="F15" i="44"/>
  <c r="F46" i="44"/>
  <c r="J4" i="65"/>
  <c r="B13" i="67"/>
  <c r="M23" i="44"/>
  <c r="M11" i="44"/>
  <c r="N6" i="65"/>
  <c r="F8" i="67"/>
  <c r="M31" i="44"/>
  <c r="M29" i="15"/>
  <c r="C19" i="44"/>
  <c r="J17" i="44"/>
  <c r="M28" i="44"/>
  <c r="F18" i="44"/>
  <c r="M28" i="15"/>
  <c r="F38" i="44"/>
  <c r="M30" i="44"/>
  <c r="D20" i="9"/>
  <c r="J5" i="65"/>
  <c r="F37" i="44"/>
  <c r="F43" i="15"/>
  <c r="L48" i="15"/>
  <c r="M8" i="15"/>
  <c r="F39" i="44"/>
  <c r="F43" i="44"/>
  <c r="N3" i="65"/>
  <c r="F16" i="15"/>
  <c r="I4" i="65"/>
  <c r="B14" i="67"/>
  <c r="J7" i="65"/>
  <c r="J15" i="15"/>
  <c r="F42" i="15"/>
  <c r="F10" i="44"/>
  <c r="E9" i="67"/>
  <c r="L49" i="44"/>
  <c r="F9" i="44"/>
  <c r="M8" i="44"/>
  <c r="E11" i="67"/>
  <c r="M25" i="44"/>
  <c r="F26" i="15"/>
  <c r="F8" i="44"/>
  <c r="F7" i="15"/>
  <c r="B9" i="67"/>
  <c r="M29" i="44"/>
  <c r="F11" i="67"/>
  <c r="F38" i="15"/>
  <c r="N7" i="65"/>
  <c r="F10" i="67"/>
  <c r="B12" i="67"/>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C16" i="15"/>
  <c r="F31" i="15"/>
  <c r="M19" i="44"/>
  <c r="E2" i="65"/>
  <c r="F58" i="15"/>
  <c r="E3" i="65"/>
  <c r="C18" i="44"/>
  <c r="M17" i="15"/>
  <c r="F33" i="44"/>
  <c r="C17" i="1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19" i="9"/>
  <c r="C19" i="9"/>
  <c r="D21" i="9"/>
  <c r="C21"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<sst xmlns="http://schemas.openxmlformats.org/spreadsheetml/2006/main" count="8595" uniqueCount="3179">
  <si>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</si>
  <si>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</si>
  <si>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</si>
  <si>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</si>
  <si>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</si>
  <si>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</si>
  <si>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</si>
  <si>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</si>
  <si>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</si>
  <si>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</si>
  <si>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</si>
  <si>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</si>
  <si>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</si>
  <si>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</si>
  <si>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</si>
  <si>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</si>
  <si>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</si>
  <si>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</si>
  <si>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</si>
  <si>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</si>
  <si>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</si>
  <si>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</si>
  <si>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</si>
  <si>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</si>
  <si>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</si>
  <si>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</si>
  <si>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</si>
  <si>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</si>
  <si>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</si>
  <si>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</si>
  <si>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</si>
  <si>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</si>
  <si>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</si>
  <si>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</si>
  <si>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</si>
  <si>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</si>
  <si>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</si>
  <si>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</si>
  <si>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</si>
  <si>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</si>
  <si>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</si>
  <si>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</si>
  <si>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</si>
  <si>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</si>
  <si>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</si>
  <si>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</si>
  <si>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</si>
  <si>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</si>
  <si>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</si>
  <si>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</si>
  <si>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</si>
  <si>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</si>
  <si>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</si>
  <si>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</si>
  <si>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</si>
  <si>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</si>
  <si>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</si>
  <si>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</si>
  <si>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</si>
  <si>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</si>
  <si>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</si>
  <si>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</si>
  <si>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</si>
  <si>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</si>
  <si>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</si>
  <si>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</si>
  <si>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</si>
  <si>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</si>
  <si>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</si>
  <si>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</si>
  <si>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</si>
  <si>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</si>
  <si>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</si>
  <si>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</si>
  <si>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</si>
  <si>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</si>
  <si>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</si>
  <si>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</si>
  <si>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</si>
  <si>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</si>
  <si>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</si>
  <si>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</si>
  <si>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</si>
  <si>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</si>
  <si>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</si>
  <si>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</si>
  <si>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</si>
  <si>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</si>
  <si>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</si>
  <si>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</si>
  <si>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</si>
  <si>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</si>
  <si>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</si>
  <si>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</si>
  <si>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</si>
  <si>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</si>
  <si>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</si>
  <si>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</si>
  <si>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</si>
  <si>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</si>
  <si>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</si>
  <si>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</si>
  <si>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</si>
  <si>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</si>
  <si>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</si>
  <si>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</si>
  <si>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</si>
  <si>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</si>
  <si>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</si>
  <si>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</si>
  <si>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</si>
  <si>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</si>
  <si>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</si>
  <si>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</si>
  <si>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</si>
  <si>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</si>
  <si>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</si>
  <si>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</si>
  <si>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</si>
  <si>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</si>
  <si>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</si>
  <si>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</si>
  <si>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</si>
  <si>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</si>
  <si>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</si>
  <si>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</si>
  <si>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</si>
  <si>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</si>
  <si>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</si>
  <si>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</si>
  <si>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</si>
  <si>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</si>
  <si>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</si>
  <si>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</si>
  <si>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</si>
  <si>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</si>
  <si>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</si>
  <si>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</si>
  <si>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</si>
  <si>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</si>
  <si>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</si>
  <si>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</si>
  <si>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</si>
  <si>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</si>
  <si>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</si>
  <si>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</si>
  <si>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</si>
  <si>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</si>
  <si>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</si>
  <si>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</si>
  <si>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</si>
  <si>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</si>
  <si>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</si>
  <si>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</si>
  <si>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</si>
  <si>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</si>
  <si>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</si>
  <si>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</si>
  <si>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</si>
  <si>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</si>
  <si>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</si>
  <si>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</si>
  <si>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</si>
  <si>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</si>
  <si>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</si>
  <si>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</si>
  <si>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</si>
  <si>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</si>
  <si>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</si>
  <si>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</si>
  <si>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</si>
  <si>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</si>
  <si>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</si>
  <si>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</si>
  <si>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</si>
  <si>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</si>
  <si>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</si>
  <si>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</si>
  <si>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</si>
  <si>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</si>
  <si>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</si>
  <si>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</si>
  <si>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</si>
  <si>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</si>
  <si>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</si>
  <si>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</si>
  <si>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</si>
  <si>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</si>
  <si>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</si>
  <si>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</si>
  <si>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</si>
  <si>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</si>
  <si>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</si>
  <si>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</si>
  <si>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</si>
  <si>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</si>
  <si>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</si>
  <si>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</si>
  <si>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</si>
  <si>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</si>
  <si>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</si>
  <si>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</si>
  <si>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</si>
  <si>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</si>
  <si>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</si>
  <si>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</si>
  <si>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</si>
  <si>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</si>
  <si>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</si>
  <si>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</si>
  <si>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</si>
  <si>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</si>
  <si>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</si>
  <si>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</si>
  <si>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</si>
  <si>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</si>
  <si>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</si>
  <si>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</si>
  <si>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</si>
  <si>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</si>
  <si>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</si>
  <si>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</si>
  <si>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</si>
  <si>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</si>
  <si>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</si>
  <si>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</si>
  <si>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</si>
  <si>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</si>
  <si>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</si>
  <si>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</si>
  <si>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</si>
  <si>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</si>
  <si>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</si>
  <si>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</si>
  <si>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</si>
  <si>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</si>
  <si>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</si>
  <si>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</si>
  <si>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</si>
  <si>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</si>
  <si>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</si>
  <si>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</si>
  <si>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</si>
  <si>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</si>
  <si>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</si>
  <si>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</si>
  <si>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</si>
  <si>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</si>
  <si>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</si>
  <si>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</si>
  <si>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</si>
  <si>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</si>
  <si>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</si>
  <si>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</si>
  <si>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</si>
  <si>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</si>
  <si>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</si>
  <si>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</si>
  <si>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</si>
  <si>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</si>
  <si>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</si>
  <si>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</si>
  <si>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</si>
  <si>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</si>
  <si>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</si>
  <si>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</si>
  <si>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</si>
  <si>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</si>
  <si>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</si>
  <si>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</si>
  <si>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</si>
  <si>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</si>
  <si>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</si>
  <si>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</si>
  <si>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</si>
  <si>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</si>
  <si>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</si>
  <si>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</si>
  <si>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</si>
  <si>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</si>
  <si>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</si>
  <si>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</si>
  <si>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</si>
  <si>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</si>
  <si>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</si>
  <si>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</si>
  <si>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</si>
  <si>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</si>
  <si>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</si>
  <si>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</si>
  <si>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</si>
  <si>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</si>
  <si>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</si>
  <si>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</si>
  <si>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</si>
  <si>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</si>
  <si>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</si>
  <si>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</si>
  <si>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</si>
  <si>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</si>
  <si>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</si>
  <si>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</si>
  <si>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</si>
  <si>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</si>
  <si>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</si>
  <si>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</si>
  <si>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</si>
  <si>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</si>
  <si>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</si>
  <si>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</si>
  <si>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</si>
  <si>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</si>
  <si>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</si>
  <si>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</si>
  <si>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</si>
  <si>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</si>
  <si>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</si>
  <si>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</si>
  <si>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</si>
  <si>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</si>
  <si>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</si>
  <si>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</si>
  <si>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</si>
  <si>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</si>
  <si>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</si>
  <si>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</si>
  <si>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</si>
  <si>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</si>
  <si>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</si>
  <si>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</si>
  <si>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</si>
  <si>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</si>
  <si>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</si>
  <si>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</si>
  <si>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</si>
  <si>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</si>
  <si>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</si>
  <si>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</si>
  <si>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</si>
  <si>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</si>
  <si>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</si>
  <si>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</si>
  <si>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</si>
  <si>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</si>
  <si>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</si>
  <si>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</si>
  <si>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</si>
  <si>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</si>
  <si>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</si>
  <si>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</si>
  <si>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</si>
  <si>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</si>
  <si>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</si>
  <si>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</si>
  <si>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</si>
  <si>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</si>
  <si>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</si>
  <si>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</si>
  <si>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</si>
  <si>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</si>
  <si>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</si>
  <si>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</si>
  <si>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</si>
  <si>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</si>
  <si>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</si>
  <si>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</si>
  <si>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</si>
  <si>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</si>
  <si>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</si>
  <si>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</si>
  <si>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</si>
  <si>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</si>
  <si>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</si>
  <si>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</si>
  <si>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</si>
  <si>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</si>
  <si>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</si>
  <si>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</si>
  <si>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</si>
  <si>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</si>
  <si>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</si>
  <si>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</si>
  <si>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</si>
  <si>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</si>
  <si>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</si>
  <si>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</si>
  <si>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</si>
  <si>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</si>
  <si>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</si>
  <si>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</si>
  <si>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</si>
  <si>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</si>
  <si>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</si>
  <si>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</si>
  <si>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</si>
  <si>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</si>
  <si>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</si>
  <si>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</si>
  <si>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</si>
  <si>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</si>
  <si>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</si>
  <si>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</si>
  <si>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</si>
  <si>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</si>
  <si>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</si>
  <si>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</si>
  <si>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</si>
  <si>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</si>
  <si>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</si>
  <si>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</si>
  <si>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</si>
  <si>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</si>
  <si>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</si>
  <si>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</si>
  <si>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</si>
  <si>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</si>
  <si>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</si>
  <si>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</si>
  <si>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</si>
  <si>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</si>
  <si>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</si>
  <si>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</si>
  <si>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</si>
  <si>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</si>
  <si>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</si>
  <si>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</si>
  <si>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</si>
  <si>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</si>
  <si>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</si>
  <si>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</si>
  <si>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</si>
  <si>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</si>
  <si>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</si>
  <si>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</si>
  <si>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</si>
  <si>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</si>
  <si>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</si>
  <si>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</si>
  <si>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</si>
  <si>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</si>
  <si>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</si>
  <si>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</si>
  <si>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</si>
  <si>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</si>
  <si>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</si>
  <si>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</si>
  <si>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</si>
  <si>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</si>
  <si>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</si>
  <si>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</si>
  <si>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</si>
  <si>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</si>
  <si>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</si>
  <si>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</si>
  <si>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</si>
  <si>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</si>
  <si>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</si>
  <si>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</si>
  <si>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</si>
  <si>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</si>
  <si>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</si>
  <si>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</si>
  <si>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</si>
  <si>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</si>
  <si>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</si>
  <si>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</si>
  <si>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</si>
  <si>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</si>
  <si>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</si>
  <si>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</si>
  <si>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</si>
  <si>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</si>
  <si>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</si>
  <si>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</si>
  <si>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</si>
  <si>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</si>
  <si>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</si>
  <si>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</si>
  <si>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</si>
  <si>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</si>
  <si>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</si>
  <si>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</si>
  <si>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</si>
  <si>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</si>
  <si>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</si>
  <si>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</si>
  <si>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</si>
  <si>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</si>
  <si>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</si>
  <si>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</si>
  <si>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</si>
  <si>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</si>
  <si>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</si>
  <si>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</si>
  <si>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</si>
  <si>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</si>
  <si>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</si>
  <si>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</si>
  <si>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</si>
  <si>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</si>
  <si>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</si>
  <si>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</si>
  <si>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</si>
  <si>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</si>
  <si>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</si>
  <si>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</si>
  <si>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</si>
  <si>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</si>
  <si>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</si>
  <si>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</si>
  <si>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</si>
  <si>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</si>
  <si>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</si>
  <si>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</si>
  <si>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</si>
  <si>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</si>
  <si>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</si>
  <si>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</si>
  <si>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</si>
  <si>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</si>
  <si>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</si>
  <si>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</si>
  <si>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</si>
  <si>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</si>
  <si>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</si>
  <si>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</si>
  <si>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</si>
  <si>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</si>
  <si>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</si>
  <si>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</si>
  <si>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</si>
  <si>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</si>
  <si>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</si>
  <si>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</si>
  <si>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</si>
  <si>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</si>
  <si>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</si>
  <si>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</si>
  <si>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</si>
  <si>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</si>
  <si>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</si>
  <si>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</si>
  <si>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</si>
  <si>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</si>
  <si>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</si>
  <si>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</si>
  <si>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</si>
  <si>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</si>
  <si>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</si>
  <si>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</si>
  <si>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</si>
  <si>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</si>
  <si>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</si>
  <si>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</si>
  <si>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</si>
  <si>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</si>
  <si>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</si>
  <si>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</si>
  <si>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</si>
  <si>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</si>
  <si>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</si>
  <si>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</si>
  <si>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</si>
  <si>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</si>
  <si>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</si>
  <si>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</si>
  <si>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</si>
  <si>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</si>
  <si>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</si>
  <si>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</si>
  <si>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</si>
  <si>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</si>
  <si>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</si>
  <si>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</si>
  <si>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</si>
  <si>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</si>
  <si>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</si>
  <si>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</si>
  <si>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</si>
  <si>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</si>
  <si>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</si>
  <si>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</si>
  <si>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</si>
  <si>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</si>
  <si>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</si>
  <si>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</si>
  <si>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</si>
  <si>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</si>
  <si>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</si>
  <si>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</si>
  <si>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</si>
  <si>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</si>
  <si>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</si>
  <si>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</si>
  <si>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</si>
  <si>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</si>
  <si>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</si>
  <si>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</si>
  <si>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</si>
  <si>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</si>
  <si>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</si>
  <si>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</si>
  <si>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</si>
  <si>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</si>
  <si>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</si>
  <si>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</si>
  <si>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</si>
  <si>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</si>
  <si>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</si>
  <si>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</si>
  <si>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</si>
  <si>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</si>
  <si>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</si>
  <si>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</si>
  <si>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</si>
  <si>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</si>
  <si>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</si>
  <si>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</si>
  <si>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</si>
  <si>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</si>
  <si>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</si>
  <si>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</si>
  <si>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</si>
  <si>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</si>
  <si>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</si>
  <si>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</si>
  <si>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</si>
  <si>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</si>
  <si>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</si>
  <si>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</si>
  <si>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</si>
  <si>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</si>
  <si>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</si>
  <si>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</si>
  <si>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</si>
  <si>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</si>
  <si>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</si>
  <si>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</si>
  <si>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</si>
  <si>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</si>
  <si>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</si>
  <si>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</si>
  <si>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</si>
  <si>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</si>
  <si>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</si>
  <si>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</si>
  <si>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</si>
  <si>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</si>
  <si>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</si>
  <si>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</si>
  <si>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</si>
  <si>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</si>
  <si>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</si>
  <si>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</si>
  <si>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</si>
  <si>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</si>
  <si>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</si>
  <si>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</si>
  <si>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</si>
  <si>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</si>
  <si>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</si>
  <si>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</si>
  <si>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</si>
  <si>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</si>
  <si>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</si>
  <si>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</si>
  <si>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</si>
  <si>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</si>
  <si>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</si>
  <si>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</si>
  <si>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</si>
  <si>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</si>
  <si>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</si>
  <si>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</si>
  <si>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</si>
  <si>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</si>
  <si>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</si>
  <si>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</si>
  <si>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</si>
  <si>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</si>
  <si>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</si>
  <si>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</si>
  <si>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</si>
  <si>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</si>
  <si>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</si>
  <si>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</si>
  <si>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</si>
  <si>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</si>
  <si>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</si>
  <si>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</si>
  <si>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</si>
  <si>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</si>
  <si>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</si>
  <si>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</si>
  <si>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</si>
  <si>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</si>
  <si>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</si>
  <si>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</si>
  <si>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</si>
  <si>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</si>
  <si>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</si>
  <si>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</si>
  <si>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</si>
  <si>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</si>
  <si>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</si>
  <si>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</si>
  <si>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</si>
  <si>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</si>
  <si>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</si>
  <si>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</si>
  <si>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</si>
  <si>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</si>
  <si>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</si>
  <si>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</si>
  <si>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</si>
  <si>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</si>
  <si>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</si>
  <si>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</si>
  <si>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</si>
  <si>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</si>
  <si>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</si>
  <si>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</si>
  <si>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</si>
  <si>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</si>
  <si>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</si>
  <si>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</si>
  <si>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</si>
  <si>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</si>
  <si>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</si>
  <si>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</si>
  <si>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</si>
  <si>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</si>
  <si>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</si>
  <si>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</si>
  <si>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</si>
  <si>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</si>
  <si>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</si>
  <si>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</si>
  <si>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</si>
  <si>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</si>
  <si>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</si>
  <si>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</si>
  <si>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</si>
  <si>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</si>
  <si>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</si>
  <si>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</si>
  <si>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</si>
  <si>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</si>
  <si>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</si>
  <si>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</si>
  <si>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</si>
  <si>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</si>
  <si>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</si>
  <si>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</si>
  <si>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</si>
  <si>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</si>
  <si>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</si>
  <si>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</si>
  <si>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</si>
  <si>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</si>
  <si>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</si>
  <si>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</si>
  <si>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</si>
  <si>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</si>
  <si>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</si>
  <si>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</si>
  <si>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</si>
  <si>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</si>
  <si>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</si>
  <si>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</si>
  <si>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</si>
  <si>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</si>
  <si>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</si>
  <si>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</si>
  <si>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</si>
  <si>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</si>
  <si>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</si>
  <si>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</si>
  <si>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</si>
  <si>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</si>
  <si>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</si>
  <si>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</si>
  <si>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</si>
  <si>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</si>
  <si>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</si>
  <si>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</si>
  <si>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</si>
  <si>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</si>
  <si>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</si>
  <si>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</si>
  <si>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</si>
  <si>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</si>
  <si>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</si>
  <si>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</si>
  <si>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</si>
  <si>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</si>
  <si>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</si>
  <si>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</si>
  <si>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</si>
  <si>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</si>
  <si>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</si>
  <si>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</si>
  <si>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</si>
  <si>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</si>
  <si>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</si>
  <si>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</si>
  <si>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</si>
  <si>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</si>
  <si>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</si>
  <si>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</si>
  <si>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</si>
  <si>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</si>
  <si>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</si>
  <si>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</si>
  <si>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</si>
  <si>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</si>
  <si>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</si>
  <si>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</si>
  <si>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</si>
  <si>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</si>
  <si>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</si>
  <si>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</si>
  <si>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</si>
  <si>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</si>
  <si>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</si>
  <si>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</si>
  <si>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</si>
  <si>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</si>
  <si>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</si>
  <si>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</si>
  <si>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</si>
  <si>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</si>
  <si>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</si>
  <si>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</si>
  <si>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</si>
  <si>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</si>
  <si>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</si>
  <si>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</si>
  <si>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</si>
  <si>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</si>
  <si>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</si>
  <si>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</si>
  <si>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</si>
  <si>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</si>
  <si>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</si>
  <si>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</si>
  <si>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</si>
  <si>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</si>
  <si>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</si>
  <si>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</si>
  <si>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</si>
  <si>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</si>
  <si>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</si>
  <si>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</si>
  <si>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</si>
  <si>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</si>
  <si>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</si>
  <si>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</si>
  <si>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</si>
  <si>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</si>
  <si>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</si>
  <si>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</si>
  <si>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</si>
  <si>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</si>
  <si>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</si>
  <si>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</si>
  <si>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</si>
  <si>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</si>
  <si>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</si>
  <si>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</si>
  <si>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</si>
  <si>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</si>
  <si>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</si>
  <si>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</si>
  <si>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</si>
  <si>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</si>
  <si>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</si>
  <si>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</si>
  <si>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</si>
  <si>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</si>
  <si>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</si>
  <si>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</si>
  <si>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</si>
  <si>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</si>
  <si>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</si>
  <si>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</si>
  <si>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</si>
  <si>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</si>
  <si>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</si>
  <si>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</si>
  <si>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</si>
  <si>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</si>
  <si>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</si>
  <si>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</si>
  <si>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</si>
  <si>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</si>
  <si>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</si>
  <si>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</si>
  <si>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</si>
  <si>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</si>
  <si>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</si>
  <si>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</si>
  <si>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</si>
  <si>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</si>
  <si>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</si>
  <si>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</si>
  <si>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</si>
  <si>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</si>
  <si>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</si>
  <si>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</si>
  <si>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</si>
  <si>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</si>
  <si>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</si>
  <si>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</si>
  <si>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</si>
  <si>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</si>
  <si>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</si>
  <si>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</si>
  <si>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</si>
  <si>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</si>
  <si>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</si>
  <si>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</si>
  <si>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</si>
  <si>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</si>
  <si>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</si>
  <si>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</si>
  <si>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</si>
  <si>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</si>
  <si>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</si>
  <si>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</si>
  <si>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</si>
  <si>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</si>
  <si>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</si>
  <si>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</si>
  <si>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</si>
  <si>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</si>
  <si>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</si>
  <si>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</si>
  <si>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</si>
  <si>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</si>
  <si>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</si>
  <si>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</si>
  <si>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</si>
  <si>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</si>
  <si>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</si>
  <si>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</si>
  <si>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</si>
  <si>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</si>
  <si>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</si>
  <si>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</si>
  <si>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</si>
  <si>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</si>
  <si>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</si>
  <si>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</si>
  <si>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</si>
  <si>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</si>
  <si>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</si>
  <si>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</si>
  <si>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</si>
  <si>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</si>
  <si>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</si>
  <si>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</si>
  <si>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</si>
  <si>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</si>
  <si>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</si>
  <si>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</si>
  <si>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</si>
  <si>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</si>
  <si>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</si>
  <si>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</si>
  <si>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</si>
  <si>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</si>
  <si>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</si>
  <si>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</si>
  <si>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</si>
  <si>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</si>
  <si>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</si>
  <si>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</si>
  <si>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</si>
  <si>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</si>
  <si>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</si>
  <si>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</si>
  <si>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</si>
  <si>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</si>
  <si>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</si>
  <si>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</si>
  <si>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</si>
  <si>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</si>
  <si>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</si>
  <si>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</si>
  <si>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</si>
  <si>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</si>
  <si>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</si>
  <si>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</si>
  <si>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</si>
  <si>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</si>
  <si>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</si>
  <si>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</si>
  <si>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</si>
  <si>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</si>
  <si>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</si>
  <si>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</si>
  <si>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</si>
  <si>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</si>
  <si>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</si>
  <si>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</si>
  <si>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</si>
  <si>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</si>
  <si>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</si>
  <si>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</si>
  <si>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</si>
  <si>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</si>
  <si>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</si>
  <si>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</si>
  <si>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</si>
  <si>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</si>
  <si>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</si>
  <si>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</si>
  <si>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</si>
  <si>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</si>
  <si>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</si>
  <si>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</si>
  <si>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</si>
  <si>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</si>
  <si>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</si>
  <si>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</si>
  <si>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</si>
  <si>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</si>
  <si>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</si>
  <si>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</si>
  <si>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</si>
  <si>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</si>
  <si>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</si>
  <si>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</si>
  <si>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</si>
  <si>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</si>
  <si>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</si>
  <si>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</si>
  <si>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</si>
  <si>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</si>
  <si>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</si>
  <si>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</si>
  <si>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</si>
  <si>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</si>
  <si>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</si>
  <si>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</si>
  <si>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</si>
  <si>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</si>
  <si>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</si>
  <si>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</si>
  <si>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</si>
  <si>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</si>
  <si>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</si>
  <si>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</si>
  <si>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</si>
  <si>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</si>
  <si>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</si>
  <si>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</si>
  <si>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</si>
  <si>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</si>
  <si>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</si>
  <si>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</si>
  <si>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</si>
  <si>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</si>
  <si>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</si>
  <si>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</si>
  <si>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</si>
  <si>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</si>
  <si>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</si>
  <si>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</si>
  <si>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</si>
  <si>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</si>
  <si>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</si>
  <si>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</si>
  <si>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</si>
  <si>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</si>
  <si>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</si>
  <si>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</si>
  <si>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</si>
  <si>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</si>
  <si>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</si>
  <si>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</si>
  <si>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</si>
  <si>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</si>
  <si>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</si>
  <si>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</si>
  <si>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</si>
  <si>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</si>
  <si>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</si>
  <si>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</si>
  <si>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</si>
  <si>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</si>
  <si>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</si>
  <si>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</si>
  <si>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</si>
  <si>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</si>
  <si>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</si>
  <si>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</si>
  <si>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</si>
  <si>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</si>
  <si>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</si>
  <si>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</si>
  <si>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</si>
  <si>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</si>
  <si>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</si>
  <si>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</si>
  <si>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</si>
  <si>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</si>
  <si>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</si>
  <si>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</si>
  <si>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</si>
  <si>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</si>
  <si>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</si>
  <si>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</si>
  <si>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</si>
  <si>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</si>
  <si>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</si>
  <si>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</si>
  <si>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</si>
  <si>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</si>
  <si>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</si>
  <si>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</si>
  <si>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</si>
  <si>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</si>
  <si>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</si>
  <si>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</si>
  <si>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</si>
  <si>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</si>
  <si>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</si>
  <si>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</si>
  <si>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</si>
  <si>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</si>
  <si>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</si>
  <si>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</si>
  <si>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</si>
  <si>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</si>
  <si>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</si>
  <si>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</si>
  <si>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</si>
  <si>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</si>
  <si>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</si>
  <si>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</si>
  <si>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</si>
  <si>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</si>
  <si>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</si>
  <si>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</si>
  <si>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</si>
  <si>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</si>
  <si>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</si>
  <si>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</si>
  <si>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</si>
  <si>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</si>
  <si>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</si>
  <si>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</si>
  <si>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</si>
  <si>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</si>
  <si>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</si>
  <si>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</si>
  <si>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</si>
  <si>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</si>
  <si>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</si>
  <si>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</si>
  <si>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</si>
  <si>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</si>
  <si>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</si>
  <si>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</si>
  <si>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</si>
  <si>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</si>
  <si>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</si>
  <si>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</si>
  <si>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</si>
  <si>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</si>
  <si>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</si>
  <si>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</si>
  <si>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</si>
  <si>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</si>
  <si>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</si>
  <si>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</si>
  <si>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</si>
  <si>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</si>
  <si>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</si>
  <si>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</si>
  <si>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</si>
  <si>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</si>
  <si>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</si>
  <si>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</si>
  <si>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</si>
  <si>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</si>
  <si>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</si>
  <si>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</si>
  <si>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</si>
  <si>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</si>
  <si>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</si>
  <si>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</si>
  <si>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</si>
  <si>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</si>
  <si>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</si>
  <si>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</si>
  <si>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</si>
  <si>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</si>
  <si>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</si>
  <si>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</si>
  <si>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</si>
  <si>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</si>
  <si>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</si>
  <si>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</si>
  <si>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</si>
  <si>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</si>
  <si>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</si>
  <si>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</si>
  <si>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</si>
  <si>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</si>
  <si>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</si>
  <si>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</si>
  <si>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</si>
  <si>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</si>
  <si>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</si>
  <si>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</si>
  <si>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</si>
  <si>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</si>
  <si>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</si>
  <si>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</si>
  <si>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</si>
  <si>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</si>
  <si>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</si>
  <si>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</si>
  <si>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</si>
  <si>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</si>
  <si>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</si>
  <si>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</si>
  <si>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</si>
  <si>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</si>
  <si>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</si>
  <si>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</si>
  <si>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</si>
  <si>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</si>
  <si>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</si>
  <si>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</si>
  <si>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</si>
  <si>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</si>
  <si>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</si>
  <si>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</si>
  <si>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</si>
  <si>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</si>
  <si>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</si>
  <si>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</si>
  <si>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</si>
  <si>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</si>
  <si>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</si>
  <si>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</si>
  <si>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</si>
  <si>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</si>
  <si>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</si>
  <si>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</si>
  <si>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</si>
  <si>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</si>
  <si>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</si>
  <si>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</si>
  <si>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</si>
  <si>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</si>
  <si>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</si>
  <si>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</si>
  <si>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</si>
  <si>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</si>
  <si>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</si>
  <si>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</si>
  <si>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</si>
  <si>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</si>
  <si>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</si>
  <si>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</si>
  <si>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</si>
  <si>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</si>
  <si>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</si>
  <si>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</si>
  <si>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</si>
  <si>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</si>
  <si>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</si>
  <si>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</si>
  <si>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</si>
  <si>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</si>
  <si>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</si>
  <si>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</si>
  <si>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</si>
  <si>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</si>
  <si>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</si>
  <si>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</si>
  <si>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</si>
  <si>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</si>
  <si>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</si>
  <si>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</si>
  <si>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</si>
  <si>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</si>
  <si>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</si>
  <si>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</si>
  <si>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</si>
  <si>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</si>
  <si>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</si>
  <si>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</si>
  <si>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</si>
  <si>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</si>
  <si>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</si>
  <si>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</si>
  <si>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</si>
  <si>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</si>
  <si>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</si>
  <si>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</si>
  <si>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</si>
  <si>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</si>
  <si>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</si>
  <si>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</si>
  <si>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</si>
  <si>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</si>
  <si>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</si>
  <si>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</si>
  <si>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</si>
  <si>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</si>
  <si>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</si>
  <si>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</si>
  <si>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</si>
  <si>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</si>
  <si>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</si>
  <si>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</si>
  <si>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</si>
  <si>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</si>
  <si>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</si>
  <si>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</si>
  <si>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</si>
  <si>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</si>
  <si>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</si>
  <si>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</si>
  <si>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</si>
  <si>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</si>
  <si>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</si>
  <si>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</si>
  <si>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</si>
  <si>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</si>
  <si>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</si>
  <si>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</si>
  <si>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</si>
  <si>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</si>
  <si>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</si>
  <si>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</si>
  <si>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</si>
  <si>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</si>
  <si>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</si>
  <si>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</si>
  <si>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</si>
  <si>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</si>
  <si>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</si>
  <si>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</si>
  <si>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</si>
  <si>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</si>
  <si>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</si>
  <si>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</si>
  <si>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</si>
  <si>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</si>
  <si>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</si>
  <si>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</si>
  <si>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</si>
  <si>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</si>
  <si>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</si>
  <si>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</si>
  <si>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</si>
  <si>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</si>
  <si>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</si>
  <si>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</si>
  <si>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</si>
  <si>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</si>
  <si>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</si>
  <si>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</si>
  <si>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</si>
  <si>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</si>
  <si>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</si>
  <si>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</si>
  <si>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</si>
  <si>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</si>
  <si>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</si>
  <si>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</si>
  <si>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</si>
  <si>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</si>
  <si>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</si>
  <si>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</si>
  <si>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</si>
  <si>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</si>
  <si>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</si>
  <si>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</si>
  <si>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</si>
  <si>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</si>
  <si>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</si>
  <si>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</si>
  <si>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</si>
  <si>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</si>
  <si>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</si>
  <si>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</si>
  <si>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</si>
  <si>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</si>
  <si>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</si>
  <si>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</si>
  <si>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</si>
  <si>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</si>
  <si>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</si>
  <si>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</si>
  <si>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</si>
  <si>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</si>
  <si>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</si>
  <si>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</si>
  <si>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</si>
  <si>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</si>
  <si>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</si>
  <si>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</si>
  <si>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</si>
  <si>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</si>
  <si>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</si>
  <si>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</si>
  <si>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</si>
  <si>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</si>
  <si>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</si>
  <si>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</si>
  <si>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</si>
  <si>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</si>
  <si>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</si>
  <si>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</si>
  <si>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</si>
  <si>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</si>
  <si>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</si>
  <si>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</si>
  <si>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</si>
  <si>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</si>
  <si>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</si>
  <si>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</si>
  <si>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</si>
  <si>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</si>
  <si>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</si>
  <si>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</si>
  <si>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</si>
  <si>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</si>
  <si>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</si>
  <si>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</si>
  <si>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</si>
  <si>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</si>
  <si>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</si>
  <si>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</si>
  <si>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</si>
  <si>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</si>
  <si>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</si>
  <si>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</si>
  <si>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</si>
  <si>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</si>
  <si>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</si>
  <si>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</si>
  <si>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</si>
  <si>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</si>
  <si>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</si>
  <si>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</si>
  <si>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</si>
  <si>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</si>
  <si>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</si>
  <si>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</si>
  <si>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</si>
  <si>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</si>
  <si>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</si>
  <si>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</si>
  <si>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</si>
  <si>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</si>
  <si>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</si>
  <si>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</si>
  <si>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</si>
  <si>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</si>
  <si>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</si>
  <si>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</si>
  <si>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</si>
  <si>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</si>
  <si>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</si>
  <si>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</si>
  <si>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</si>
  <si>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</si>
  <si>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</si>
  <si>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</si>
  <si>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</si>
  <si>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</si>
  <si>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</si>
  <si>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</si>
  <si>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</si>
  <si>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</si>
  <si>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</si>
  <si>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</si>
  <si>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</si>
  <si>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</si>
  <si>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</si>
  <si>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</si>
  <si>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</si>
  <si>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</si>
  <si>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</si>
  <si>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</si>
  <si>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</si>
  <si>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</si>
  <si>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</si>
  <si>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</si>
  <si>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</si>
  <si>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</si>
  <si>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</si>
  <si>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</si>
  <si>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</si>
  <si>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</si>
  <si>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</si>
  <si>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</si>
  <si>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</si>
  <si>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</si>
  <si>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</si>
  <si>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</si>
  <si>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</si>
  <si>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</si>
  <si>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</si>
  <si>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</si>
  <si>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</si>
  <si>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</si>
  <si>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</si>
  <si>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</si>
  <si>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</si>
  <si>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</si>
  <si>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</si>
  <si>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</si>
  <si>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</si>
  <si>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</si>
  <si>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</si>
  <si>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</si>
  <si>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</si>
  <si>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</si>
  <si>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</si>
  <si>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</si>
  <si>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</si>
  <si>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</si>
  <si>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</si>
  <si>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</si>
  <si>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</si>
  <si>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</si>
  <si>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</si>
  <si>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</si>
  <si>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</si>
  <si>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</si>
  <si>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</si>
  <si>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</si>
  <si>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</si>
  <si>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</si>
  <si>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</si>
  <si>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</si>
  <si>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</si>
  <si>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</si>
  <si>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</si>
  <si>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</si>
  <si>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</si>
  <si>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</si>
  <si>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</si>
  <si>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</si>
  <si>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</si>
  <si>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</si>
  <si>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</si>
  <si>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</si>
  <si>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</si>
  <si>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</si>
  <si>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</si>
  <si>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</si>
  <si>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</si>
  <si>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</si>
  <si>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</si>
  <si>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</si>
  <si>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</si>
  <si>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</si>
  <si>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</si>
  <si>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</si>
  <si>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</si>
  <si>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</si>
  <si>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</si>
  <si>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</si>
  <si>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</si>
  <si>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</si>
  <si>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</si>
  <si>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</si>
  <si>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</si>
  <si>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</si>
  <si>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</si>
  <si>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</si>
  <si>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</si>
  <si>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</si>
  <si>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</si>
  <si>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</si>
  <si>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</si>
  <si>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</si>
  <si>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</si>
  <si>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</si>
  <si>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</si>
  <si>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</si>
  <si>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</si>
  <si>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</si>
  <si>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</si>
  <si>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</si>
  <si>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</si>
  <si>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</si>
  <si>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</si>
  <si>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</si>
  <si>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</si>
  <si>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</si>
  <si>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</si>
  <si>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</si>
  <si>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</si>
  <si>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</si>
  <si>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</si>
  <si>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</si>
  <si>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</si>
  <si>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</si>
  <si>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</si>
  <si>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</si>
  <si>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</si>
  <si>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</si>
  <si>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</si>
  <si>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</si>
  <si>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</si>
  <si>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</si>
  <si>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</si>
  <si>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</si>
  <si>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</si>
  <si>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</si>
  <si>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</si>
  <si>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</si>
  <si>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</si>
  <si>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</si>
  <si>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</si>
  <si>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</si>
  <si>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</si>
  <si>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</si>
  <si>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</si>
  <si>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</si>
  <si>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</si>
  <si>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</si>
  <si>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</si>
  <si>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</si>
  <si>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</si>
  <si>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</si>
  <si>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</si>
  <si>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</si>
  <si>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</si>
  <si>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</si>
  <si>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</si>
  <si>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</si>
  <si>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</si>
  <si>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</si>
  <si>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</si>
  <si>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</si>
  <si>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</si>
  <si>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</si>
  <si>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</si>
  <si>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</si>
  <si>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</si>
  <si>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</si>
  <si>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</si>
  <si>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</si>
  <si>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</si>
  <si>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</si>
  <si>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</si>
  <si>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</si>
  <si>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</si>
  <si>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</si>
  <si>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</si>
  <si>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</si>
  <si>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</si>
  <si>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</si>
  <si>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</si>
  <si>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</si>
  <si>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</si>
  <si>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</si>
  <si>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</si>
  <si>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</si>
  <si>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</si>
  <si>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</si>
  <si>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</si>
  <si>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</si>
  <si>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</si>
  <si>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</si>
  <si>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</si>
  <si>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</si>
  <si>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</si>
  <si>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</si>
  <si>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</si>
  <si>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</si>
  <si>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</si>
  <si>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</si>
  <si>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</si>
  <si>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</si>
  <si>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</si>
  <si>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</si>
  <si>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</si>
  <si>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</si>
  <si>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</si>
  <si>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</si>
  <si>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</si>
  <si>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</si>
  <si>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</si>
  <si>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</si>
  <si>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</si>
  <si>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</si>
  <si>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</si>
  <si>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</si>
  <si>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</si>
  <si>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</si>
  <si>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</si>
  <si>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</si>
  <si>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</si>
  <si>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</si>
  <si>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</si>
  <si>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</si>
  <si>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</si>
  <si>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</si>
  <si>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</si>
  <si>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</si>
  <si>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</si>
  <si>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</si>
  <si>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</si>
  <si>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</si>
  <si>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</si>
  <si>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</si>
  <si>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</si>
  <si>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</si>
  <si>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</si>
  <si>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</si>
  <si>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</si>
  <si>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</si>
  <si>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</si>
  <si>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</si>
  <si>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</si>
  <si>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</si>
  <si>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</si>
  <si>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</si>
  <si>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</si>
  <si>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</si>
  <si>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</si>
  <si>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</si>
  <si>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</si>
  <si>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</si>
  <si>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</si>
  <si>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</si>
  <si>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</si>
  <si>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</si>
  <si>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</si>
  <si>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</si>
  <si>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</si>
  <si>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</si>
  <si>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</si>
  <si>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</si>
  <si>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</si>
  <si>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</si>
  <si>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</si>
  <si>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</si>
  <si>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</si>
  <si>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</si>
  <si>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</si>
  <si>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</si>
  <si>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</si>
  <si>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</si>
  <si>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</si>
  <si>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</si>
  <si>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</si>
  <si>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</si>
  <si>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</si>
  <si>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</si>
  <si>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</si>
  <si>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</si>
  <si>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</si>
  <si>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</si>
  <si>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</si>
  <si>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</si>
  <si>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</si>
  <si>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</si>
  <si>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</si>
  <si>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</si>
  <si>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</si>
  <si>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</si>
  <si>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</si>
  <si>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</si>
  <si>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</si>
  <si>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</si>
  <si>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</si>
  <si>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</si>
  <si>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</si>
  <si>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</si>
  <si>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</si>
  <si>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</si>
  <si>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</si>
  <si>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</si>
  <si>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</si>
  <si>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</si>
  <si>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</si>
  <si>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</si>
  <si>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</si>
  <si>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</si>
  <si>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</si>
  <si>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</si>
  <si>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</si>
  <si>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</si>
  <si>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</si>
  <si>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</si>
  <si>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</si>
  <si>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</si>
  <si>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</si>
  <si>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</si>
  <si>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</si>
  <si>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</si>
  <si>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</si>
  <si>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</si>
  <si>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</si>
  <si>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</si>
  <si>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</si>
  <si>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</si>
  <si>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</si>
  <si>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</si>
  <si>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</si>
  <si>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</si>
  <si>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</si>
  <si>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</si>
  <si>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</si>
  <si>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</si>
  <si>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</si>
  <si>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</si>
  <si>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</si>
  <si>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</si>
  <si>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</si>
  <si>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</si>
  <si>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</si>
  <si>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</si>
  <si>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</si>
  <si>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</si>
  <si>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</si>
  <si>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</si>
  <si>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</si>
  <si>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</si>
  <si>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</si>
  <si>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</si>
  <si>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</si>
  <si>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</si>
  <si>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</si>
  <si>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</si>
  <si>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</si>
  <si>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</si>
  <si>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</si>
  <si>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</si>
  <si>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</si>
  <si>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</si>
  <si>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</si>
  <si>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</si>
  <si>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</si>
  <si>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</si>
  <si>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</si>
  <si>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</si>
  <si>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</si>
  <si>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</si>
  <si>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</si>
  <si>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</si>
  <si>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</si>
  <si>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</si>
  <si>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</si>
  <si>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</si>
  <si>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</si>
  <si>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</si>
  <si>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</si>
  <si>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</si>
  <si>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</si>
  <si>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</si>
  <si>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</si>
  <si>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</si>
  <si>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</si>
  <si>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</si>
  <si>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</si>
  <si>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</si>
  <si>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</si>
  <si>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</si>
  <si>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</si>
  <si>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</si>
  <si>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</si>
  <si>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</si>
  <si>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</si>
  <si>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</si>
  <si>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</si>
  <si>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</si>
  <si>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</si>
  <si>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</si>
  <si>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</si>
  <si>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</si>
  <si>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</si>
  <si>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</si>
  <si>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</si>
  <si>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</si>
  <si>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</si>
  <si>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</si>
  <si>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</si>
  <si>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</si>
  <si>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</si>
  <si>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</si>
  <si>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</si>
  <si>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</si>
  <si>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</si>
  <si>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</si>
  <si>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</si>
  <si>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</si>
  <si>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</si>
  <si>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</si>
  <si>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</si>
  <si>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</si>
  <si>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</si>
  <si>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</si>
  <si>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</si>
  <si>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</si>
  <si>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</si>
  <si>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</si>
  <si>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</si>
  <si>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</si>
  <si>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</si>
  <si>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</si>
  <si>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</si>
  <si>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</si>
  <si>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</si>
  <si>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</si>
  <si>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</si>
  <si>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</si>
  <si>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</si>
  <si>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</si>
  <si>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</si>
  <si>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</si>
  <si>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</si>
  <si>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</si>
  <si>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</si>
  <si>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</si>
  <si>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</si>
  <si>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</si>
  <si>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</si>
  <si>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</si>
  <si>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</si>
  <si>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</si>
  <si>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</si>
  <si>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</si>
  <si>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</si>
  <si>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</si>
  <si>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</si>
  <si>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</si>
  <si>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</si>
  <si>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</si>
  <si>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</si>
  <si>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</si>
  <si>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</si>
  <si>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</si>
  <si>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</si>
  <si>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</si>
  <si>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</si>
  <si>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</si>
  <si>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</si>
  <si>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</si>
  <si>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</si>
  <si>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</si>
  <si>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</si>
  <si>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</si>
  <si>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</si>
  <si>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</si>
  <si>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</si>
  <si>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</si>
  <si>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</si>
  <si>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</si>
  <si>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</si>
  <si>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</si>
  <si>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</si>
  <si>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</si>
  <si>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</si>
  <si>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</si>
  <si>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</si>
  <si>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</si>
  <si>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</si>
  <si>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</si>
  <si>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</si>
  <si>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</si>
  <si>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</si>
  <si>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</si>
  <si>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</si>
  <si>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</si>
  <si>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</si>
  <si>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</si>
  <si>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</si>
  <si>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</si>
  <si>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</si>
  <si>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</si>
  <si>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</si>
  <si>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</si>
  <si>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</si>
  <si>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</si>
  <si>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</si>
  <si>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</si>
  <si>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</si>
  <si>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</si>
  <si>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</si>
  <si>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</si>
  <si>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</si>
  <si>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</si>
  <si>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</si>
  <si>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</si>
  <si>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</si>
  <si>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</si>
  <si>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</si>
  <si>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</si>
  <si>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</si>
  <si>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</si>
  <si>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</si>
  <si>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</si>
  <si>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</si>
  <si>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</si>
  <si>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</si>
  <si>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</si>
  <si>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</si>
  <si>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</si>
  <si>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</si>
  <si>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</si>
  <si>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</si>
  <si>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</si>
  <si>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</si>
  <si>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</si>
  <si>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</si>
  <si>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</si>
  <si>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</si>
  <si>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</si>
  <si>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</si>
  <si>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</si>
  <si>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</si>
  <si>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</si>
  <si>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</si>
  <si>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</si>
  <si>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</si>
  <si>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</si>
  <si>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</si>
  <si>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</si>
  <si>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</si>
  <si>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</si>
  <si>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</si>
  <si>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</si>
  <si>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</si>
  <si>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</si>
  <si>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</si>
  <si>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</si>
  <si>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</si>
  <si>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</si>
  <si>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</si>
  <si>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</si>
  <si>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</si>
  <si>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</si>
  <si>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</si>
  <si>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</si>
  <si>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</si>
  <si>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</si>
  <si>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</si>
  <si>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</si>
  <si>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</si>
  <si>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</si>
  <si>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</si>
  <si>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</si>
  <si>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</si>
  <si>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</si>
  <si>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</si>
  <si>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</si>
  <si>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</si>
  <si>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</si>
  <si>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</si>
  <si>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</si>
  <si>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</si>
  <si>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</si>
  <si>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</si>
  <si>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</si>
  <si>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</si>
  <si>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</si>
  <si>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</si>
  <si>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</si>
  <si>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</si>
  <si>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</si>
  <si>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</si>
  <si>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</si>
  <si>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</si>
  <si>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</si>
  <si>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</si>
  <si>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</si>
  <si>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</si>
  <si>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</si>
  <si>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</si>
  <si>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</si>
  <si>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</si>
  <si>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</si>
  <si>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</si>
  <si>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</si>
  <si>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</si>
  <si>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</si>
  <si>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</si>
  <si>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</si>
  <si>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</si>
  <si>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</si>
  <si>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</si>
  <si>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</si>
  <si>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</si>
  <si>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</si>
  <si>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</si>
  <si>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</si>
  <si>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</si>
  <si>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</si>
  <si>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</si>
  <si>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</si>
  <si>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</si>
  <si>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</si>
  <si>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</si>
  <si>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</si>
  <si>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</si>
  <si>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</si>
  <si>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</si>
  <si>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</si>
  <si>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</si>
  <si>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</si>
  <si>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</si>
  <si>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</si>
  <si>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</si>
  <si>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</si>
  <si>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</si>
  <si>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</si>
  <si>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</si>
  <si>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</si>
  <si>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</si>
  <si>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</si>
  <si>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</si>
  <si>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</si>
  <si>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</si>
  <si>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</si>
  <si>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</si>
  <si>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</si>
  <si>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</si>
  <si>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</si>
  <si>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</si>
  <si>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</si>
  <si>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</si>
  <si>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</si>
  <si>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</si>
  <si>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</si>
  <si>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</si>
  <si>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</si>
  <si>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</si>
  <si>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</si>
  <si>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</si>
  <si>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</si>
  <si>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</si>
  <si>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</si>
  <si>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</si>
  <si>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</si>
  <si>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</si>
  <si>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</si>
  <si>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</si>
  <si>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</si>
  <si>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</si>
  <si>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</si>
  <si>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</si>
  <si>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</si>
  <si>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</si>
  <si>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</si>
  <si>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</si>
  <si>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</si>
  <si>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</si>
  <si>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</si>
  <si>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</si>
  <si>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</si>
  <si>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</si>
  <si>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</si>
  <si>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</si>
  <si>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</si>
  <si>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</si>
  <si>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</si>
  <si>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</si>
  <si>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</si>
  <si>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</si>
  <si>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</si>
  <si>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</si>
  <si>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</si>
  <si>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</si>
  <si>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</si>
  <si>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</si>
  <si>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</si>
  <si>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</si>
  <si>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</si>
  <si>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</si>
  <si>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</si>
  <si>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</si>
  <si>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</si>
  <si>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</si>
  <si>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</si>
  <si>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</si>
  <si>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</si>
  <si>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</si>
  <si>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</si>
  <si>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</si>
  <si>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</si>
  <si>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</si>
  <si>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</si>
  <si>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</si>
  <si>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</si>
  <si>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</si>
  <si>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</si>
  <si>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</si>
  <si>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</si>
  <si>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</si>
  <si>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</si>
  <si>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</si>
  <si>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</si>
  <si>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</si>
  <si>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</si>
  <si>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</si>
  <si>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</si>
  <si>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</si>
  <si>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</si>
  <si>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</si>
  <si>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</si>
  <si>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</si>
  <si>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</si>
  <si>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</si>
  <si>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</si>
  <si>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</si>
  <si>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</si>
  <si>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</si>
  <si>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</si>
  <si>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</si>
  <si>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</si>
  <si>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</si>
  <si>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</si>
  <si>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</si>
  <si>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</si>
  <si>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</si>
  <si>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</si>
  <si>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</si>
  <si>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</si>
  <si>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</si>
  <si>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</si>
  <si>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</si>
  <si>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</si>
  <si>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</si>
  <si>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</si>
  <si>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</si>
  <si>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</si>
  <si>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</si>
  <si>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</si>
  <si>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</si>
  <si>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</si>
  <si>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</si>
  <si>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</si>
  <si>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</si>
  <si>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</si>
  <si>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</si>
  <si>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</si>
  <si>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</si>
  <si>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</si>
  <si>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</si>
  <si>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</si>
  <si>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</si>
  <si>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</si>
  <si>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</si>
  <si>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</si>
  <si>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</si>
  <si>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</si>
  <si>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</si>
  <si>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</si>
  <si>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</si>
  <si>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</si>
  <si>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</si>
  <si>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</si>
  <si>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</si>
  <si>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</si>
  <si>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</si>
  <si>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</si>
  <si>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</si>
  <si>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</si>
  <si>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</si>
  <si>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</si>
  <si>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</si>
  <si>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</si>
  <si>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</si>
  <si>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</si>
  <si>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</si>
  <si>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</si>
  <si>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</si>
  <si>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</si>
  <si>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</si>
  <si>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</si>
  <si>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</si>
  <si>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</si>
  <si>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</si>
  <si>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</si>
  <si>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</si>
  <si>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</si>
  <si>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</si>
  <si>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</si>
  <si>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</si>
  <si>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</si>
  <si>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</si>
  <si>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</si>
  <si>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</si>
  <si>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</si>
  <si>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</si>
  <si>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</si>
  <si>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</si>
  <si>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</si>
  <si>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</si>
  <si>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</si>
  <si>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</si>
  <si>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</si>
  <si>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</si>
  <si>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</si>
  <si>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</si>
  <si>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</si>
  <si>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</si>
  <si>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</si>
  <si>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</si>
  <si>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</si>
  <si>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</si>
  <si>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</si>
  <si>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</si>
  <si>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</si>
  <si>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</si>
  <si>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</si>
  <si>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</si>
  <si>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</si>
  <si>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</si>
  <si>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</si>
  <si>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</si>
  <si>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</si>
  <si>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</si>
  <si>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</si>
  <si>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</si>
  <si>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</si>
  <si>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</si>
  <si>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</si>
  <si>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</si>
  <si>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</si>
  <si>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</si>
  <si>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</si>
  <si>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</si>
  <si>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</si>
  <si>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</si>
  <si>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</si>
  <si>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</si>
  <si>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</si>
  <si>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</si>
  <si>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</si>
  <si>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</si>
  <si>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</si>
  <si>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</si>
  <si>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</si>
  <si>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</si>
  <si>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</si>
  <si>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</si>
  <si>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</si>
  <si>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</si>
  <si>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</si>
  <si>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</si>
  <si>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</si>
  <si>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</si>
  <si>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</si>
  <si>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</si>
  <si>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</si>
  <si>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</si>
  <si>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</si>
  <si>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</si>
  <si>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</si>
  <si>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</si>
  <si>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</si>
  <si>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</si>
  <si>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</si>
  <si>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</si>
  <si>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</si>
  <si>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</si>
  <si>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</si>
  <si>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</si>
  <si>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</si>
  <si>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</si>
  <si>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</si>
  <si>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</si>
  <si>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</si>
  <si>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</si>
  <si>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</si>
  <si>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</si>
  <si>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</si>
  <si>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</si>
  <si>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</si>
  <si>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</si>
  <si>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</si>
  <si>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</si>
  <si>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</si>
  <si>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</si>
  <si>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</si>
  <si>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</si>
  <si>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</si>
  <si>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</si>
  <si>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</si>
  <si>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</si>
  <si>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</si>
  <si>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</si>
  <si>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</si>
  <si>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</si>
  <si>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</si>
  <si>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</si>
  <si>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</si>
  <si>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</si>
  <si>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</si>
  <si>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</si>
  <si>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</si>
  <si>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</si>
  <si>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</si>
  <si>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</si>
  <si>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</si>
  <si>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</si>
  <si>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</si>
  <si>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</si>
  <si>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</si>
  <si>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</si>
  <si>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</si>
  <si>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</si>
  <si>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</si>
  <si>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</si>
  <si>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</si>
  <si>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</si>
  <si>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</si>
  <si>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</si>
  <si>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</si>
  <si>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</si>
  <si>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</si>
  <si>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</si>
  <si>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</si>
  <si>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</si>
  <si>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</si>
  <si>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</si>
  <si>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</si>
  <si>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</si>
  <si>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</si>
  <si>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</si>
  <si>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</si>
  <si>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</si>
  <si>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</si>
  <si>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</si>
  <si>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</si>
  <si>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</si>
  <si>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</si>
  <si>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</si>
  <si>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</si>
  <si>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</si>
  <si>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</si>
  <si>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</si>
  <si>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</si>
  <si>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</si>
  <si>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</si>
  <si>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</si>
  <si>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</si>
  <si>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</si>
  <si>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</si>
  <si>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</si>
  <si>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</si>
  <si>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</si>
  <si>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</si>
  <si>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</si>
  <si>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</si>
  <si>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</si>
  <si>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</si>
  <si>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</si>
  <si>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</si>
  <si>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</si>
  <si>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</si>
  <si>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</si>
  <si>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</si>
  <si>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</si>
  <si>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</si>
  <si>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</si>
  <si>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</si>
  <si>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</si>
  <si>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</si>
  <si>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</si>
  <si>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</si>
  <si>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</si>
  <si>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</si>
  <si>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</si>
  <si>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</si>
  <si>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</si>
  <si>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</si>
  <si>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</si>
  <si>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</si>
  <si>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</si>
  <si>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</si>
  <si>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</si>
  <si>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</si>
  <si>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</si>
  <si>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</si>
  <si>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</si>
  <si>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</si>
  <si>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</si>
  <si>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</si>
  <si>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</si>
  <si>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</si>
  <si>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</si>
  <si>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</si>
  <si>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</si>
  <si>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</si>
  <si>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</si>
  <si>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</si>
  <si>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</si>
  <si>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</si>
  <si>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</si>
  <si>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</si>
  <si>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</si>
  <si>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</si>
  <si>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</si>
  <si>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</si>
  <si>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</si>
  <si>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</si>
  <si>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</si>
  <si>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</si>
  <si>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</si>
  <si>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</si>
  <si>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</si>
  <si>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</si>
  <si>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</si>
  <si>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</si>
  <si>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</si>
  <si>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</si>
  <si>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</si>
  <si>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</si>
  <si>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</si>
  <si>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</si>
  <si>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</si>
  <si>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</si>
  <si>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</si>
  <si>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</si>
  <si>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</si>
  <si>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</si>
  <si>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</si>
  <si>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</si>
  <si>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</si>
  <si>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</si>
  <si>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</si>
  <si>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</si>
  <si>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</si>
  <si>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</si>
  <si>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</si>
  <si>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</si>
  <si>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</si>
  <si>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</si>
  <si>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</si>
  <si>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</si>
  <si>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</si>
  <si>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</si>
  <si>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</si>
  <si>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</si>
  <si>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</si>
  <si>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</si>
  <si>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</si>
  <si>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</si>
  <si>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</si>
  <si>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</si>
  <si>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</si>
  <si>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</si>
  <si>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</si>
  <si>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</si>
  <si>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</si>
  <si>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</si>
  <si>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</si>
  <si>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</si>
  <si>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</si>
  <si>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</si>
  <si>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</si>
  <si>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</si>
  <si>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</si>
  <si>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</si>
  <si>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</si>
  <si>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</si>
  <si>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</si>
  <si>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</si>
  <si>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</si>
  <si>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</si>
  <si>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</si>
  <si>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</si>
  <si>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</si>
  <si>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</si>
  <si>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</si>
  <si>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</si>
  <si>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</si>
  <si>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</si>
  <si>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</si>
  <si>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</si>
  <si>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</si>
  <si>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</si>
  <si>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</si>
  <si>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</si>
  <si>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</si>
  <si>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</si>
  <si>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</si>
  <si>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</si>
  <si>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</si>
  <si>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</si>
  <si>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</si>
  <si>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</si>
  <si>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</si>
  <si>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</si>
  <si>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</si>
  <si>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</si>
  <si>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</si>
  <si>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</si>
  <si>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</si>
  <si>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</si>
  <si>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</si>
  <si>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</si>
  <si>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</si>
  <si>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</si>
  <si>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</si>
  <si>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</si>
  <si>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</si>
  <si>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</si>
  <si>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</si>
  <si>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</si>
  <si>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</si>
  <si>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</si>
  <si>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</si>
  <si>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</si>
  <si>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</si>
  <si>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</si>
  <si>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</si>
  <si>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</si>
  <si>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</si>
  <si>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</si>
  <si>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</si>
  <si>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</si>
  <si>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</si>
  <si>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</si>
  <si>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</si>
  <si>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</si>
  <si>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</si>
  <si>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</si>
  <si>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</si>
  <si>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</si>
  <si>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</si>
  <si>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</si>
  <si>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</si>
  <si>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</si>
  <si>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</si>
  <si>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</si>
  <si>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</si>
  <si>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</si>
  <si>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</si>
  <si>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</si>
  <si>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</si>
  <si>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</si>
  <si>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</si>
  <si>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</si>
  <si>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</si>
  <si>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</si>
  <si>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</si>
  <si>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</si>
  <si>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</si>
  <si>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</si>
  <si>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</si>
  <si>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</si>
  <si>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</si>
  <si>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</si>
  <si>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</si>
  <si>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</si>
  <si>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</si>
  <si>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</si>
  <si>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</si>
  <si>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</si>
  <si>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</si>
  <si>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</si>
  <si>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</si>
  <si>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</si>
  <si>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</si>
  <si>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</si>
  <si>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</si>
  <si>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</si>
  <si>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</si>
  <si>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</si>
  <si>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</si>
  <si>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</si>
  <si>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</si>
  <si>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</si>
  <si>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</si>
  <si>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</si>
  <si>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</si>
  <si>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</si>
  <si>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</si>
  <si>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</si>
  <si>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</si>
  <si>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</si>
  <si>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</si>
  <si>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</si>
  <si>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</si>
  <si>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</si>
  <si>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</si>
  <si>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</si>
  <si>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</si>
  <si>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</si>
  <si>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</si>
  <si>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</si>
  <si>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</si>
  <si>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</si>
  <si>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</si>
  <si>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</si>
  <si>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</si>
  <si>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</si>
  <si>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</si>
  <si>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</si>
  <si>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</si>
  <si>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</si>
  <si>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</si>
  <si>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</si>
  <si>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</si>
  <si>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</si>
  <si>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</si>
  <si>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</si>
  <si>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</si>
  <si>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</si>
  <si>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</si>
  <si>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</si>
  <si>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</si>
  <si>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</si>
  <si>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</si>
  <si>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</si>
  <si>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</si>
  <si>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</si>
  <si>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</si>
  <si>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</si>
  <si>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</si>
  <si>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</si>
  <si>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</si>
  <si>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</si>
  <si>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</si>
  <si>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</si>
  <si>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</si>
  <si>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</si>
  <si>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</si>
  <si>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</si>
  <si>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</si>
  <si>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</si>
  <si>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</si>
  <si>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</si>
  <si>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</si>
  <si>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</si>
  <si>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</si>
  <si>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</si>
  <si>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</si>
  <si>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</si>
  <si>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</si>
  <si>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</si>
  <si>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</si>
  <si>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</si>
  <si>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</si>
  <si>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</si>
  <si>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</si>
  <si>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</si>
  <si>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</si>
  <si>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</si>
  <si>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</si>
  <si>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</si>
  <si>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</si>
  <si>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</si>
  <si>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</si>
  <si>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</si>
  <si>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</si>
  <si>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</si>
  <si>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</si>
  <si>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</si>
  <si>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</si>
  <si>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</si>
  <si>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</si>
  <si>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</si>
  <si>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</si>
  <si>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</si>
  <si>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</si>
  <si>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</si>
  <si>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</si>
  <si>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</si>
  <si>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</si>
  <si>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</si>
  <si>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</si>
  <si>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</si>
  <si>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</si>
  <si>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</si>
  <si>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</si>
  <si>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</si>
  <si>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</si>
  <si>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</si>
  <si>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</si>
  <si>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</si>
  <si>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</si>
  <si>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</si>
  <si>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</si>
  <si>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</si>
  <si>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</si>
  <si>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</si>
  <si>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</si>
  <si>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</si>
  <si>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</si>
  <si>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</si>
  <si>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</si>
  <si>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</si>
  <si>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</si>
  <si>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</si>
  <si>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</si>
  <si>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</si>
  <si>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</si>
  <si>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</si>
  <si>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</si>
  <si>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</si>
  <si>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</si>
  <si>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</si>
  <si>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</si>
  <si>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</si>
  <si>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</si>
  <si>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</si>
  <si>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</si>
  <si>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</si>
  <si>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</si>
  <si>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</si>
  <si>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</si>
  <si>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</si>
  <si>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</si>
  <si>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</si>
  <si>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</si>
  <si>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</si>
  <si>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</si>
  <si>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</si>
  <si>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</si>
  <si>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</si>
  <si>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</si>
  <si>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</si>
  <si>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</si>
  <si>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</si>
  <si>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</si>
  <si>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</si>
  <si>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</si>
  <si>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</si>
  <si>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</si>
  <si>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</si>
  <si>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</si>
  <si>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</si>
  <si>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</si>
  <si>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</si>
  <si>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</si>
  <si>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</si>
  <si>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</si>
  <si>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</si>
  <si>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</si>
  <si>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</si>
  <si>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</si>
  <si>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</si>
  <si>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</si>
  <si>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</si>
  <si>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</si>
  <si>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</si>
  <si>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</si>
  <si>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</si>
  <si>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</si>
  <si>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</si>
  <si>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</si>
  <si>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</si>
  <si>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</si>
  <si>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</si>
  <si>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</si>
  <si>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</si>
  <si>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</si>
  <si>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</si>
  <si>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</si>
  <si>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</si>
  <si>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</si>
  <si>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</si>
  <si>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</si>
  <si>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</si>
  <si>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</si>
  <si>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</si>
  <si>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</si>
  <si>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</si>
  <si>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</si>
  <si>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</si>
  <si>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</si>
  <si>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</si>
  <si>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</si>
  <si>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</si>
  <si>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</si>
  <si>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</si>
  <si>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</si>
  <si>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</si>
  <si>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</si>
  <si>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</si>
  <si>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</si>
  <si>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</si>
  <si>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</si>
  <si>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</si>
  <si>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</si>
  <si>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</si>
  <si>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</si>
  <si>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</si>
  <si>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</si>
  <si>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</si>
  <si>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</si>
  <si>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</si>
  <si>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</si>
  <si>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</si>
  <si>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</si>
  <si>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</si>
  <si>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</si>
  <si>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</si>
  <si>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</si>
  <si>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</si>
  <si>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</si>
  <si>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</si>
  <si>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</si>
  <si>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</si>
  <si>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</si>
  <si>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</si>
  <si>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</si>
  <si>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</si>
  <si>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</si>
  <si>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</si>
  <si>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</si>
  <si>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</si>
  <si>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</si>
  <si>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</si>
  <si>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</si>
  <si>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</si>
  <si>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</si>
  <si>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</si>
  <si>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</si>
  <si>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</si>
  <si>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</si>
  <si>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</si>
  <si>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</si>
  <si>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</si>
  <si>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</si>
  <si>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</si>
  <si>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</si>
  <si>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</si>
  <si>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</si>
  <si>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</si>
  <si>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</si>
  <si>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</si>
  <si>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</si>
  <si>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</si>
  <si>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</si>
  <si>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</si>
  <si>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</si>
  <si>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</si>
  <si>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</si>
  <si>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</si>
  <si>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</si>
  <si>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</si>
  <si>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</si>
  <si>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</si>
  <si>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</si>
  <si>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</si>
  <si>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</si>
  <si>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</si>
  <si>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</si>
  <si>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</si>
  <si>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</si>
  <si>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</si>
  <si>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</si>
  <si>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</si>
  <si>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</si>
  <si>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</si>
  <si>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</si>
  <si>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</si>
  <si>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</si>
  <si>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</si>
  <si>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</si>
  <si>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</si>
  <si>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</si>
  <si>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</si>
  <si>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</si>
  <si>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</si>
  <si>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</si>
  <si>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</si>
  <si>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</si>
  <si>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</si>
  <si>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</si>
  <si>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</si>
  <si>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</si>
  <si>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</si>
  <si>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</si>
  <si>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</si>
  <si>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</si>
  <si>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</si>
  <si>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</si>
  <si>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</si>
  <si>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</si>
  <si>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</si>
  <si>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</si>
  <si>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</si>
  <si>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</si>
  <si>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</si>
  <si>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</si>
  <si>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</si>
  <si>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</si>
  <si>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</si>
  <si>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</si>
  <si>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</si>
  <si>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</si>
  <si>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</si>
  <si>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</si>
  <si>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</si>
  <si>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</si>
  <si>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</si>
  <si>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</si>
  <si>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</si>
  <si>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</si>
  <si>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</si>
  <si>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</si>
  <si>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</si>
  <si>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</si>
  <si>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</si>
  <si>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</si>
  <si>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</si>
  <si>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</si>
  <si>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</si>
  <si>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</si>
  <si>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</si>
  <si>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</si>
  <si>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</si>
  <si>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</si>
  <si>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</si>
  <si>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</si>
  <si>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</si>
  <si>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</si>
  <si>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</si>
  <si>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</si>
  <si>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</si>
  <si>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</si>
  <si>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</si>
  <si>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</si>
  <si>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</si>
  <si>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</si>
  <si>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</si>
  <si>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</si>
  <si>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</si>
  <si>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</si>
  <si>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</si>
  <si>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</si>
  <si>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</si>
  <si>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</si>
  <si>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</si>
  <si>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</si>
  <si>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</si>
  <si>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</si>
  <si>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</si>
  <si>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</si>
  <si>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</si>
  <si>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</si>
  <si>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</si>
  <si>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</si>
  <si>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</si>
  <si>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</si>
  <si>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</si>
  <si>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</si>
  <si>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</si>
  <si>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</si>
  <si>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</si>
  <si>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</si>
  <si>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</si>
  <si>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</si>
  <si>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</si>
  <si>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</si>
  <si>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</si>
  <si>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</si>
  <si>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</si>
  <si>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</si>
  <si>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</si>
  <si>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</si>
  <si>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</si>
  <si>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</si>
  <si>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</si>
  <si>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</si>
  <si>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</si>
  <si>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</si>
  <si>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</si>
  <si>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</si>
  <si>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</si>
  <si>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</si>
  <si>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</si>
  <si>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</si>
  <si>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</si>
  <si>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</si>
  <si>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</si>
  <si>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</si>
  <si>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</si>
  <si>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</si>
  <si>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</si>
  <si>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</si>
  <si>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</si>
  <si>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</si>
  <si>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</si>
  <si>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</si>
  <si>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</si>
  <si>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</si>
  <si>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</si>
  <si>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</si>
  <si>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</si>
  <si>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</si>
  <si>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</si>
  <si>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</si>
  <si>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</si>
  <si>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</si>
  <si>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</si>
  <si>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</si>
  <si>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</si>
  <si>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</si>
  <si>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</si>
  <si>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</si>
  <si>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</si>
  <si>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</si>
  <si>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</si>
  <si>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</si>
  <si>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</si>
  <si>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</si>
  <si>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</si>
  <si>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</si>
  <si>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</si>
  <si>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</si>
  <si>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</si>
  <si>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</si>
  <si>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</si>
  <si>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</si>
  <si>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</si>
  <si>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</si>
  <si>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</si>
  <si>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</si>
  <si>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</si>
  <si>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</si>
  <si>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</si>
  <si>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</si>
  <si>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</si>
  <si>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</si>
  <si>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</si>
  <si>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</si>
  <si>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</si>
  <si>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</si>
  <si>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</si>
  <si>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</si>
  <si>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</si>
  <si>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</si>
  <si>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</si>
  <si>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</si>
  <si>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</si>
  <si>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</si>
  <si>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</si>
  <si>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</si>
  <si>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</si>
  <si>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</si>
  <si>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</si>
  <si>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</si>
  <si>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</si>
  <si>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</si>
  <si>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国有土地成本逼近法测算过程（工业类用地）</t>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</si>
  <si>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</si>
  <si>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</si>
  <si>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</si>
  <si>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</si>
  <si>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0"/>
        <rFont val="仿宋_GB2312"/>
        <family val="3"/>
        <charset val="134"/>
      </rPr>
      <t>项目</t>
    </r>
    <phoneticPr fontId="3" type="noConversion"/>
  </si>
  <si>
    <t>土地取得费（Ea）</t>
    <phoneticPr fontId="3" type="noConversion"/>
  </si>
  <si>
    <r>
      <rPr>
        <b/>
        <sz val="10"/>
        <rFont val="宋体"/>
        <family val="3"/>
        <charset val="134"/>
      </rPr>
      <t>（</t>
    </r>
    <r>
      <rPr>
        <b/>
        <sz val="10"/>
        <rFont val="Arial"/>
        <family val="2"/>
      </rPr>
      <t>1</t>
    </r>
    <r>
      <rPr>
        <b/>
        <sz val="10"/>
        <rFont val="宋体"/>
        <family val="3"/>
        <charset val="134"/>
      </rPr>
      <t>）</t>
    </r>
    <phoneticPr fontId="3" type="noConversion"/>
  </si>
  <si>
    <t>税费（T）</t>
    <phoneticPr fontId="3" type="noConversion"/>
  </si>
  <si>
    <t>土地开发费（Ed）</t>
    <phoneticPr fontId="3" type="noConversion"/>
  </si>
  <si>
    <t>利息（R1）</t>
    <phoneticPr fontId="3" type="noConversion"/>
  </si>
  <si>
    <t>利润（R2）</t>
    <phoneticPr fontId="3" type="noConversion"/>
  </si>
  <si>
    <t>土地成本价格（Pe）</t>
    <phoneticPr fontId="3" type="noConversion"/>
  </si>
  <si>
    <t>土地增值收益（R3）</t>
    <phoneticPr fontId="3" type="noConversion"/>
  </si>
  <si>
    <t>年期修正</t>
    <phoneticPr fontId="3" type="noConversion"/>
  </si>
  <si>
    <t>区位修正</t>
    <phoneticPr fontId="3" type="noConversion"/>
  </si>
  <si>
    <t>土地价格（P）</t>
    <phoneticPr fontId="3" type="noConversion"/>
  </si>
  <si>
    <t>六通（多燃气）</t>
    <phoneticPr fontId="228" type="noConversion"/>
  </si>
  <si>
    <t>036</t>
    <phoneticPr fontId="228" type="noConversion"/>
  </si>
  <si>
    <t>009</t>
    <phoneticPr fontId="228" type="noConversion"/>
  </si>
  <si>
    <t>0071</t>
    <phoneticPr fontId="228" type="noConversion"/>
  </si>
  <si>
    <t>0072</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</si>
</sst>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0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lignment vertical="center"/>
    </xf>
    <xf numFmtId="186" fontId="95" fillId="5" borderId="2" xfId="2" applyNumberFormat="1" applyFont="1" applyFill="1" applyBorder="1" applyAlignment="1">
      <alignment horizontal="center" vertical="center"/>
    </xf>
    <xf numFmtId="0" fontId="145" fillId="0" borderId="0" xfId="1">
      <alignment vertical="center"/>
    </xf>
    <xf numFmtId="0" fontId="83" fillId="5" borderId="10" xfId="1" applyFont="1" applyFill="1" applyBorder="1" applyAlignment="1">
      <alignment vertical="center" wrapText="1"/>
    </xf>
    <xf numFmtId="0" fontId="97" fillId="5" borderId="2" xfId="1" applyFont="1" applyFill="1" applyBorder="1">
      <alignment vertical="center"/>
    </xf>
    <xf numFmtId="0" fontId="98" fillId="5" borderId="0" xfId="1" applyFont="1" applyFill="1" applyAlignment="1" applyProtection="1">
      <alignment horizontal="center" vertical="center"/>
      <protection locked="0"/>
    </xf>
    <xf numFmtId="0" fontId="97" fillId="5" borderId="4" xfId="1" applyFont="1" applyFill="1" applyBorder="1">
      <alignment vertical="center"/>
    </xf>
    <xf numFmtId="0" fontId="154" fillId="5" borderId="32" xfId="1" applyFont="1" applyFill="1" applyBorder="1" applyAlignment="1">
      <alignment horizontal="left" vertical="center"/>
    </xf>
    <xf numFmtId="0" fontId="97" fillId="5" borderId="13" xfId="1" applyFont="1" applyFill="1" applyBorder="1">
      <alignment vertical="center"/>
    </xf>
    <xf numFmtId="0" fontId="154" fillId="5" borderId="18" xfId="1" applyFont="1" applyFill="1" applyBorder="1" applyAlignment="1">
      <alignment horizontal="left" vertical="center"/>
    </xf>
    <xf numFmtId="0" fontId="145" fillId="0" borderId="2" xfId="1" applyBorder="1">
      <alignment vertical="center"/>
    </xf>
    <xf numFmtId="9" fontId="145" fillId="0" borderId="2" xfId="1" applyNumberFormat="1" applyBorder="1">
      <alignment vertical="center"/>
    </xf>
    <xf numFmtId="14" fontId="145" fillId="0" borderId="2" xfId="1" applyNumberFormat="1" applyBorder="1">
      <alignment vertical="center"/>
    </xf>
    <xf numFmtId="178" fontId="221" fillId="6" borderId="2" xfId="2" applyNumberFormat="1" applyFont="1" applyFill="1" applyBorder="1" applyAlignment="1">
      <alignment horizontal="center" vertical="center"/>
    </xf>
    <xf numFmtId="49" fontId="145" fillId="5" borderId="2" xfId="14" applyNumberFormat="1" applyFont="1" applyFill="1" applyBorder="1" applyAlignment="1">
      <alignment vertical="center"/>
    </xf>
    <xf numFmtId="0" fontId="185" fillId="0" borderId="0" xfId="7" applyFont="1" applyAlignment="1">
      <alignment horizontal="left" vertical="top" wrapText="1"/>
    </xf>
    <xf numFmtId="0" fontId="195" fillId="0" borderId="2" xfId="0" applyFont="1" applyBorder="1" applyAlignment="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71" fillId="5" borderId="2" xfId="0"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5" fillId="5" borderId="53"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lignment horizontal="left" vertical="center" wrapText="1"/>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11" xfId="0" applyFont="1" applyFill="1" applyBorder="1" applyAlignment="1">
      <alignment horizontal="left" vertical="center" wrapText="1"/>
    </xf>
    <xf numFmtId="0" fontId="85" fillId="5" borderId="61" xfId="0" applyFont="1" applyFill="1" applyBorder="1" applyAlignment="1">
      <alignment horizontal="center" vertical="center"/>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0" fontId="84" fillId="5" borderId="2" xfId="0" applyFont="1" applyFill="1" applyBorder="1" applyAlignment="1">
      <alignment horizontal="center" vertical="center" wrapText="1"/>
    </xf>
    <xf numFmtId="0" fontId="84" fillId="5" borderId="2" xfId="0" applyFont="1" applyFill="1" applyBorder="1" applyAlignment="1">
      <alignment horizontal="center" vertical="center"/>
    </xf>
    <xf numFmtId="185" fontId="84" fillId="5" borderId="2" xfId="0" applyNumberFormat="1"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6" fillId="12" borderId="11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236" fillId="12" borderId="129"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8" xfId="0" applyFont="1" applyFill="1" applyBorder="1" applyAlignment="1">
      <alignment horizontal="center" vertical="center"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35718</xdr:rowOff>
    </xdr:from>
    <xdr:to>
      <xdr:col>4</xdr:col>
      <xdr:colOff>444612</xdr:colOff>
      <xdr:row>56</xdr:row>
      <xdr:rowOff>139938</xdr:rowOff>
    </xdr:to>
    <xdr:pic>
      <xdr:nvPicPr>
        <xdr:cNvPr id="3" name="图片 2">
          <a:extLst>
            <a:ext uri="{FF2B5EF4-FFF2-40B4-BE49-F238E27FC236}">
              <a16:creationId xmlns:a16="http://schemas.microsoft.com/office/drawing/2014/main" id="{94D3E68B-7A6B-FB93-A020-5685F8607B52}"/>
            </a:ext>
          </a:extLst>
        </xdr:cNvPr>
        <xdr:cNvPicPr>
          <a:picLocks noChangeAspect="1"/>
        </xdr:cNvPicPr>
      </xdr:nvPicPr>
      <xdr:blipFill>
        <a:blip xmlns:r="http://schemas.openxmlformats.org/officeDocument/2006/relationships" r:embed="rId1"/>
        <a:stretch>
          <a:fillRect/>
        </a:stretch>
      </xdr:blipFill>
      <xdr:spPr>
        <a:xfrm>
          <a:off x="0" y="7119937"/>
          <a:ext cx="5457143" cy="4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4</xdr:col>
      <xdr:colOff>511278</xdr:colOff>
      <xdr:row>55</xdr:row>
      <xdr:rowOff>118527</xdr:rowOff>
    </xdr:to>
    <xdr:pic>
      <xdr:nvPicPr>
        <xdr:cNvPr id="2" name="图片 1">
          <a:extLst>
            <a:ext uri="{FF2B5EF4-FFF2-40B4-BE49-F238E27FC236}">
              <a16:creationId xmlns:a16="http://schemas.microsoft.com/office/drawing/2014/main" id="{FDBA2799-C32B-A121-8C3C-A4EEBF50111A}"/>
            </a:ext>
          </a:extLst>
        </xdr:cNvPr>
        <xdr:cNvPicPr>
          <a:picLocks noChangeAspect="1"/>
        </xdr:cNvPicPr>
      </xdr:nvPicPr>
      <xdr:blipFill>
        <a:blip xmlns:r="http://schemas.openxmlformats.org/officeDocument/2006/relationships" r:embed="rId1"/>
        <a:stretch>
          <a:fillRect/>
        </a:stretch>
      </xdr:blipFill>
      <xdr:spPr>
        <a:xfrm>
          <a:off x="0" y="7084219"/>
          <a:ext cx="5523809" cy="42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4</xdr:col>
      <xdr:colOff>54136</xdr:colOff>
      <xdr:row>53</xdr:row>
      <xdr:rowOff>104304</xdr:rowOff>
    </xdr:to>
    <xdr:pic>
      <xdr:nvPicPr>
        <xdr:cNvPr id="2" name="图片 1">
          <a:extLst>
            <a:ext uri="{FF2B5EF4-FFF2-40B4-BE49-F238E27FC236}">
              <a16:creationId xmlns:a16="http://schemas.microsoft.com/office/drawing/2014/main" id="{84E184F1-B75C-CBAC-B6CA-95233812BE4E}"/>
            </a:ext>
          </a:extLst>
        </xdr:cNvPr>
        <xdr:cNvPicPr>
          <a:picLocks noChangeAspect="1"/>
        </xdr:cNvPicPr>
      </xdr:nvPicPr>
      <xdr:blipFill>
        <a:blip xmlns:r="http://schemas.openxmlformats.org/officeDocument/2006/relationships" r:embed="rId1"/>
        <a:stretch>
          <a:fillRect/>
        </a:stretch>
      </xdr:blipFill>
      <xdr:spPr>
        <a:xfrm>
          <a:off x="0" y="7250906"/>
          <a:ext cx="5066667" cy="37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4</xdr:col>
      <xdr:colOff>139850</xdr:colOff>
      <xdr:row>54</xdr:row>
      <xdr:rowOff>128092</xdr:rowOff>
    </xdr:to>
    <xdr:pic>
      <xdr:nvPicPr>
        <xdr:cNvPr id="2" name="图片 1">
          <a:extLst>
            <a:ext uri="{FF2B5EF4-FFF2-40B4-BE49-F238E27FC236}">
              <a16:creationId xmlns:a16="http://schemas.microsoft.com/office/drawing/2014/main" id="{0FA2792A-4789-D23F-17F4-5F6943296ED2}"/>
            </a:ext>
          </a:extLst>
        </xdr:cNvPr>
        <xdr:cNvPicPr>
          <a:picLocks noChangeAspect="1"/>
        </xdr:cNvPicPr>
      </xdr:nvPicPr>
      <xdr:blipFill>
        <a:blip xmlns:r="http://schemas.openxmlformats.org/officeDocument/2006/relationships" r:embed="rId1"/>
        <a:stretch>
          <a:fillRect/>
        </a:stretch>
      </xdr:blipFill>
      <xdr:spPr>
        <a:xfrm>
          <a:off x="0" y="7250906"/>
          <a:ext cx="5152381" cy="3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38596;&#23433;/2024/20241014&#38596;&#23433;/P01&#23481;&#22478;&#21439;&#26124;&#20313;&#21046;&#32447;&#21378;/&#32993;&#22823;&#222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逼近法4"/>
      <sheetName val="成本逼近法3"/>
      <sheetName val="成本逼近法2"/>
      <sheetName val="成本逼近法（0048）"/>
      <sheetName val="成本逼近法（014）"/>
      <sheetName val="成本逼近法（出让）-胡大国"/>
      <sheetName val="成本逼近法（划拨)"/>
      <sheetName val="成本逼近法（051）"/>
      <sheetName val="成本逼近法（0011）"/>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成本逼近法1</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2024年2月22日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估价期日：2024年2月22日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41" t="str">
        <f>IF(B10="北京市","北京市",C10)&amp;F10&amp;B16&amp;"国有建设用地使用权"&amp;B9&amp;"预评估"</f>
        <v>出让国有建设用地使用权预评估</v>
      </c>
      <c r="C1" s="3042"/>
      <c r="D1" s="3042"/>
      <c r="E1" s="3042"/>
      <c r="F1" s="3042"/>
      <c r="G1" s="3042"/>
      <c r="H1" s="3042"/>
      <c r="I1" s="3043"/>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45344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2885</v>
      </c>
      <c r="C4" s="1732">
        <f>SUMIF(土地估价师,B4,估价师及机构信息!E3:E24)</f>
        <v>0</v>
      </c>
      <c r="D4" s="1729" t="s">
        <v>2885</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2993</v>
      </c>
      <c r="C8" s="1566"/>
      <c r="D8" s="3047"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48"/>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44"/>
      <c r="C12" s="3045"/>
      <c r="D12" s="3046"/>
      <c r="E12" s="1593" t="s">
        <v>2061</v>
      </c>
      <c r="F12" s="3062" t="s">
        <v>2886</v>
      </c>
      <c r="G12" s="3063"/>
      <c r="H12" s="3063"/>
      <c r="I12" s="3064"/>
      <c r="J12" s="1555"/>
      <c r="K12" s="1666"/>
      <c r="L12" s="1616"/>
      <c r="M12" s="1616"/>
      <c r="N12" s="1555"/>
      <c r="O12" s="1589"/>
      <c r="P12" s="1555"/>
      <c r="Q12" s="1555"/>
      <c r="R12" s="1555"/>
      <c r="S12" s="1555"/>
      <c r="T12" s="1555"/>
      <c r="U12" s="1555"/>
    </row>
    <row r="13" spans="1:21">
      <c r="A13" s="1582" t="s">
        <v>2059</v>
      </c>
      <c r="B13" s="3044"/>
      <c r="C13" s="3045"/>
      <c r="D13" s="3046"/>
      <c r="E13" s="1593" t="s">
        <v>2061</v>
      </c>
      <c r="F13" s="3062" t="s">
        <v>2887</v>
      </c>
      <c r="G13" s="3063"/>
      <c r="H13" s="3063"/>
      <c r="I13" s="3064"/>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2987</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21.5</v>
      </c>
      <c r="J19" s="1555"/>
      <c r="K19" s="1666"/>
      <c r="L19" s="1616"/>
      <c r="M19" s="1616"/>
      <c r="N19" s="1555"/>
      <c r="O19" s="1589"/>
      <c r="P19" s="1555"/>
      <c r="Q19" s="1555"/>
      <c r="R19" s="1555"/>
      <c r="S19" s="1555"/>
      <c r="T19" s="1555"/>
      <c r="U19" s="1555"/>
    </row>
    <row r="20" spans="1:21">
      <c r="A20" s="1677"/>
      <c r="B20" s="1678"/>
      <c r="C20" s="1679" t="s">
        <v>2060</v>
      </c>
      <c r="D20" s="3059"/>
      <c r="E20" s="3060"/>
      <c r="F20" s="3060"/>
      <c r="G20" s="3060"/>
      <c r="H20" s="3060"/>
      <c r="I20" s="3061"/>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49" t="s">
        <v>1998</v>
      </c>
      <c r="F21" s="3050"/>
      <c r="G21" s="3050"/>
      <c r="H21" s="3050"/>
      <c r="I21" s="3051"/>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49" t="s">
        <v>2888</v>
      </c>
      <c r="F22" s="3050"/>
      <c r="G22" s="3050"/>
      <c r="H22" s="3050"/>
      <c r="I22" s="3051"/>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52" t="s">
        <v>1966</v>
      </c>
      <c r="C24" s="3053"/>
      <c r="D24" s="3054" t="s">
        <v>1967</v>
      </c>
      <c r="E24" s="3055"/>
      <c r="F24" s="1601" t="s">
        <v>1968</v>
      </c>
      <c r="G24" s="1555"/>
      <c r="H24" s="1555"/>
      <c r="I24" s="1589"/>
      <c r="J24" s="1555"/>
      <c r="K24" s="3040"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40"/>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40"/>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26" t="s">
        <v>2001</v>
      </c>
      <c r="B31" s="1657" t="s">
        <v>2002</v>
      </c>
      <c r="C31" s="3065"/>
      <c r="D31" s="3066"/>
      <c r="E31" s="1555"/>
      <c r="F31" s="1555"/>
      <c r="G31" s="1555"/>
      <c r="H31" s="1555"/>
      <c r="I31" s="1589"/>
      <c r="J31" s="1555"/>
      <c r="K31" s="2261"/>
      <c r="L31" s="1555"/>
      <c r="M31" s="1555"/>
      <c r="N31" s="1555"/>
      <c r="O31" s="1555"/>
      <c r="P31" s="1555"/>
      <c r="Q31" s="1555"/>
      <c r="R31" s="1555"/>
      <c r="S31" s="1555"/>
      <c r="T31" s="1555"/>
      <c r="U31" s="1555"/>
    </row>
    <row r="32" spans="1:21">
      <c r="A32" s="3026"/>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26"/>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27"/>
      <c r="B34" s="1556" t="s">
        <v>2005</v>
      </c>
      <c r="C34" s="3028"/>
      <c r="D34" s="3029"/>
      <c r="E34" s="1555"/>
      <c r="F34" s="1555"/>
      <c r="G34" s="1555"/>
      <c r="H34" s="1555"/>
      <c r="I34" s="1589"/>
      <c r="J34" s="1555"/>
      <c r="K34" s="2261"/>
      <c r="L34" s="1555"/>
      <c r="M34" s="1555"/>
      <c r="N34" s="1555"/>
      <c r="O34" s="1555"/>
      <c r="P34" s="1555"/>
      <c r="Q34" s="1555"/>
      <c r="R34" s="1555"/>
      <c r="S34" s="1555"/>
      <c r="T34" s="1555"/>
      <c r="U34" s="1555"/>
    </row>
    <row r="35" spans="1:21">
      <c r="A35" s="3030" t="s">
        <v>847</v>
      </c>
      <c r="B35" s="1615"/>
      <c r="C35" s="1668" t="str">
        <f>IF(B35="场地平整","——","具体情况：")</f>
        <v>具体情况：</v>
      </c>
      <c r="D35" s="3032"/>
      <c r="E35" s="3033"/>
      <c r="F35" s="3033"/>
      <c r="G35" s="3033"/>
      <c r="H35" s="3033"/>
      <c r="I35" s="3034"/>
      <c r="J35" s="1555"/>
      <c r="K35" s="1667"/>
      <c r="L35" s="1616"/>
      <c r="M35" s="1616"/>
      <c r="N35" s="1555"/>
      <c r="O35" s="1589"/>
      <c r="P35" s="1555"/>
      <c r="Q35" s="1555"/>
      <c r="R35" s="1555"/>
      <c r="S35" s="1555"/>
      <c r="T35" s="1555"/>
      <c r="U35" s="1555"/>
    </row>
    <row r="36" spans="1:21">
      <c r="A36" s="3026"/>
      <c r="B36" s="3035" t="s">
        <v>2054</v>
      </c>
      <c r="C36" s="3036"/>
      <c r="D36" s="1683"/>
      <c r="E36" s="3037"/>
      <c r="F36" s="3037"/>
      <c r="G36" s="1582" t="str">
        <f>IF(B35="场地未平整","估价结果处理","")</f>
        <v/>
      </c>
      <c r="H36" s="3038"/>
      <c r="I36" s="3038"/>
      <c r="J36" s="1555"/>
      <c r="K36" s="1667"/>
      <c r="L36" s="1616"/>
      <c r="M36" s="1616"/>
      <c r="N36" s="1555"/>
      <c r="O36" s="1589"/>
      <c r="P36" s="1555"/>
      <c r="Q36" s="1555"/>
      <c r="R36" s="1555"/>
      <c r="S36" s="1555"/>
      <c r="T36" s="1555"/>
      <c r="U36" s="1555"/>
    </row>
    <row r="37" spans="1:21" ht="28.5">
      <c r="A37" s="3026"/>
      <c r="B37" s="3056"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26"/>
      <c r="B38" s="3057"/>
      <c r="C38" s="1564" t="s">
        <v>850</v>
      </c>
      <c r="D38" s="1682">
        <f>ROUNDDOWN(MIN(('数据-取费表'!$B$2-D37)/365,D34),1)</f>
        <v>124.2</v>
      </c>
      <c r="E38" s="1620" t="s">
        <v>851</v>
      </c>
      <c r="F38" s="1555"/>
      <c r="G38" s="1555"/>
      <c r="H38" s="1555"/>
      <c r="I38" s="1589"/>
      <c r="J38" s="1555"/>
      <c r="K38" s="1667"/>
      <c r="L38" s="1555"/>
      <c r="M38" s="1555"/>
      <c r="N38" s="1555"/>
      <c r="O38" s="1555"/>
      <c r="P38" s="1555"/>
      <c r="Q38" s="1555"/>
      <c r="R38" s="1555"/>
      <c r="S38" s="1555"/>
      <c r="T38" s="1555"/>
      <c r="U38" s="1555"/>
    </row>
    <row r="39" spans="1:21">
      <c r="A39" s="3027"/>
      <c r="B39" s="3058"/>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39" t="s">
        <v>1985</v>
      </c>
      <c r="T40" s="1624" t="str">
        <f>NUMBERSTRING(7-K40,1)&amp;"通"</f>
        <v>七通</v>
      </c>
      <c r="U40" s="1555"/>
    </row>
    <row r="41" spans="1:21">
      <c r="A41" s="1558"/>
      <c r="B41" s="3031" t="s">
        <v>1721</v>
      </c>
      <c r="C41" s="3031"/>
      <c r="D41" s="3031"/>
      <c r="E41" s="3031"/>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39"/>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2889</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3110</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7" t="s">
        <v>0</v>
      </c>
      <c r="B1" s="3067" t="s">
        <v>4</v>
      </c>
      <c r="C1" s="3067" t="s">
        <v>5</v>
      </c>
      <c r="D1" s="3068" t="s">
        <v>40</v>
      </c>
      <c r="E1" s="3068" t="s">
        <v>41</v>
      </c>
      <c r="F1" s="3068"/>
      <c r="G1" s="3068"/>
      <c r="H1" s="3068"/>
      <c r="I1" s="3068"/>
      <c r="J1" s="3068"/>
      <c r="K1" s="3068"/>
      <c r="L1" s="3068"/>
      <c r="M1" s="3068"/>
    </row>
    <row r="2" spans="1:13" ht="27" customHeight="1">
      <c r="A2" s="3067"/>
      <c r="B2" s="3067"/>
      <c r="C2" s="3067"/>
      <c r="D2" s="3068"/>
      <c r="E2" s="3068" t="s">
        <v>24</v>
      </c>
      <c r="F2" s="3068" t="s">
        <v>25</v>
      </c>
      <c r="G2" s="3068"/>
      <c r="H2" s="3068"/>
      <c r="I2" s="3068"/>
      <c r="J2" s="3068" t="s">
        <v>26</v>
      </c>
      <c r="K2" s="3068"/>
      <c r="L2" s="3068"/>
      <c r="M2" s="3068"/>
    </row>
    <row r="3" spans="1:13" ht="28.5">
      <c r="A3" s="3067"/>
      <c r="B3" s="3067"/>
      <c r="C3" s="3067"/>
      <c r="D3" s="3068"/>
      <c r="E3" s="30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68" t="s">
        <v>42</v>
      </c>
      <c r="B9" s="3068"/>
      <c r="C9" s="30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78" t="s">
        <v>203</v>
      </c>
      <c r="B2" s="3078"/>
      <c r="C2" s="3078"/>
      <c r="D2" s="1860" t="s">
        <v>204</v>
      </c>
      <c r="E2" s="101" t="s">
        <v>205</v>
      </c>
      <c r="F2" s="1862"/>
      <c r="G2" s="1137"/>
      <c r="H2" s="1138"/>
      <c r="I2" s="1139" t="s">
        <v>857</v>
      </c>
      <c r="J2" s="1862"/>
      <c r="K2" s="1862"/>
      <c r="L2" s="1862"/>
    </row>
    <row r="3" spans="1:16" ht="15.75" thickBot="1">
      <c r="A3" s="3079" t="s">
        <v>206</v>
      </c>
      <c r="B3" s="3079"/>
      <c r="C3" s="3079"/>
      <c r="D3" s="102" t="e">
        <f>'数据-基础表'!AY6</f>
        <v>#DIV/0!</v>
      </c>
      <c r="E3" s="102">
        <f>'数据-基础表'!AZ5</f>
        <v>0</v>
      </c>
      <c r="F3" s="1862"/>
      <c r="G3" s="110" t="s">
        <v>858</v>
      </c>
      <c r="H3" s="106" t="s">
        <v>859</v>
      </c>
      <c r="I3" s="1091">
        <f>ROUND('数据-基础表'!B3/'数据-基础表'!A3,2)</f>
        <v>0</v>
      </c>
      <c r="J3" s="1862"/>
      <c r="K3" s="1862"/>
      <c r="L3" s="1862"/>
    </row>
    <row r="4" spans="1:16" ht="15">
      <c r="A4" s="3080"/>
      <c r="B4" s="3081"/>
      <c r="C4" s="3082"/>
      <c r="D4" s="103" t="s">
        <v>204</v>
      </c>
      <c r="E4" s="104" t="s">
        <v>205</v>
      </c>
      <c r="F4" s="1862"/>
      <c r="G4" s="123"/>
      <c r="H4" s="106" t="s">
        <v>860</v>
      </c>
      <c r="I4" s="1091">
        <f>ROUND(SUMIF('数据-基础表'!I9:AS9,"地上",'数据-基础表'!I5:AS5)/'数据-基础表'!A3,2)</f>
        <v>0</v>
      </c>
      <c r="J4" s="1862"/>
      <c r="K4" s="1862"/>
      <c r="L4" s="1862"/>
    </row>
    <row r="5" spans="1:16">
      <c r="A5" s="105" t="s">
        <v>207</v>
      </c>
      <c r="B5" s="3083" t="s">
        <v>230</v>
      </c>
      <c r="C5" s="3083"/>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83" t="s">
        <v>208</v>
      </c>
      <c r="C6" s="3083"/>
      <c r="D6" s="106" t="e">
        <f>ROUND($D$3*E6/$E$3,2)</f>
        <v>#DIV/0!</v>
      </c>
      <c r="E6" s="107">
        <f>E3-E5</f>
        <v>0</v>
      </c>
      <c r="F6" s="1862"/>
      <c r="G6" s="123"/>
      <c r="H6" s="106" t="s">
        <v>860</v>
      </c>
      <c r="I6" s="1091" t="e">
        <f>ROUND(F31/D31,2)</f>
        <v>#DIV/0!</v>
      </c>
      <c r="J6" s="1862"/>
      <c r="K6" s="1862"/>
      <c r="L6" s="1862"/>
    </row>
    <row r="7" spans="1:16" ht="15">
      <c r="A7" s="3075"/>
      <c r="B7" s="3076"/>
      <c r="C7" s="3077"/>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69" t="s">
        <v>2566</v>
      </c>
      <c r="L16" s="3070"/>
      <c r="M16" s="3070"/>
      <c r="N16" s="3070"/>
      <c r="O16" s="3070"/>
      <c r="P16" s="3071"/>
    </row>
    <row r="17" spans="1:19" ht="15">
      <c r="A17" s="116" t="s">
        <v>216</v>
      </c>
      <c r="B17" s="117" t="s">
        <v>217</v>
      </c>
      <c r="C17" s="2134" t="s">
        <v>2313</v>
      </c>
      <c r="D17" s="103" t="s">
        <v>204</v>
      </c>
      <c r="E17" s="119" t="s">
        <v>205</v>
      </c>
      <c r="F17" s="120"/>
      <c r="G17" s="1293"/>
      <c r="H17" s="920" t="s">
        <v>218</v>
      </c>
      <c r="I17" s="921" t="s">
        <v>2312</v>
      </c>
      <c r="J17" s="1862"/>
      <c r="K17" s="3072" t="s">
        <v>2567</v>
      </c>
      <c r="L17" s="3073"/>
      <c r="M17" s="3074"/>
      <c r="N17" s="3072" t="s">
        <v>2568</v>
      </c>
      <c r="O17" s="3073"/>
      <c r="P17" s="3074"/>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3111</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45344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54">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21.5</v>
      </c>
      <c r="G6" s="166">
        <f>IF(ISERROR(ROUND(POWER(1+H6,D6-F6)*(POWER(1+H6,F6)-1)/(POWER(1+H6,D6)-1),3)),0,ROUND(POWER(1+H6,D6-F6)*(POWER(1+H6,F6)-1)/(POWER(1+H6,D6)-1),3))</f>
        <v>0.755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0.71399999999999997</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2890</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2891</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2892</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2893</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2894</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2894</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2895</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2896</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2897</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2898</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2899</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2900</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2901</v>
      </c>
      <c r="D53" s="2800" t="s">
        <v>2902</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2903</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2904</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2905</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2906</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2907</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2908</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2909</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2910</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2911</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2912</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84" t="s">
        <v>1663</v>
      </c>
      <c r="B1" s="3085"/>
      <c r="C1" s="3085"/>
      <c r="D1" s="3085"/>
      <c r="E1" s="3085"/>
      <c r="F1" s="3085"/>
      <c r="G1" s="3085"/>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2919</v>
      </c>
      <c r="D3" s="1878"/>
      <c r="E3" s="1164" t="s">
        <v>1666</v>
      </c>
      <c r="F3" s="1165" t="s">
        <v>1654</v>
      </c>
      <c r="G3" s="2808" t="s">
        <v>2918</v>
      </c>
      <c r="H3" s="1877"/>
      <c r="I3" s="1877"/>
      <c r="J3" s="1877"/>
      <c r="K3" s="1877"/>
      <c r="L3" s="1877"/>
      <c r="M3" s="1877"/>
      <c r="N3" s="1877"/>
      <c r="O3" s="1877"/>
      <c r="P3" s="1877"/>
      <c r="Q3" s="1877"/>
    </row>
    <row r="4" spans="1:18" ht="41.25">
      <c r="A4" s="1164"/>
      <c r="B4" s="1166" t="s">
        <v>1667</v>
      </c>
      <c r="C4" s="2805" t="s">
        <v>2920</v>
      </c>
      <c r="D4" s="1878"/>
      <c r="E4" s="1167"/>
      <c r="F4" s="1168" t="s">
        <v>1668</v>
      </c>
      <c r="G4" s="2806" t="s">
        <v>2915</v>
      </c>
      <c r="H4" s="1877"/>
      <c r="I4" s="1877"/>
      <c r="J4" s="1877"/>
      <c r="K4" s="1877"/>
      <c r="L4" s="1877"/>
      <c r="M4" s="1877"/>
      <c r="N4" s="1877"/>
      <c r="O4" s="1877"/>
      <c r="P4" s="1877"/>
      <c r="Q4" s="1877"/>
    </row>
    <row r="5" spans="1:18" ht="41.25">
      <c r="A5" s="1164"/>
      <c r="B5" s="1166" t="s">
        <v>1669</v>
      </c>
      <c r="C5" s="2805" t="s">
        <v>2921</v>
      </c>
      <c r="D5" s="1878"/>
      <c r="E5" s="1167"/>
      <c r="F5" s="1166" t="s">
        <v>2546</v>
      </c>
      <c r="G5" s="2806" t="s">
        <v>2916</v>
      </c>
      <c r="H5" s="1877"/>
      <c r="I5" s="1877"/>
      <c r="J5" s="1877"/>
      <c r="K5" s="1877"/>
      <c r="L5" s="1877"/>
      <c r="M5" s="1877"/>
      <c r="N5" s="1877"/>
      <c r="O5" s="1877"/>
      <c r="P5" s="1877"/>
      <c r="Q5" s="1877"/>
    </row>
    <row r="6" spans="1:18" ht="54">
      <c r="A6" s="1164"/>
      <c r="B6" s="1166" t="s">
        <v>1655</v>
      </c>
      <c r="C6" s="2806" t="s">
        <v>2915</v>
      </c>
      <c r="D6" s="1878"/>
      <c r="E6" s="1167"/>
      <c r="F6" s="1166" t="s">
        <v>2547</v>
      </c>
      <c r="G6" s="2806" t="s">
        <v>2913</v>
      </c>
      <c r="H6" s="1877"/>
      <c r="I6" s="1877"/>
      <c r="J6" s="1877"/>
      <c r="K6" s="1877"/>
      <c r="L6" s="1877"/>
      <c r="M6" s="1877"/>
      <c r="N6" s="1877"/>
      <c r="O6" s="1877"/>
      <c r="P6" s="1877"/>
      <c r="Q6" s="1877"/>
    </row>
    <row r="7" spans="1:18" ht="41.25" thickBot="1">
      <c r="A7" s="1164"/>
      <c r="B7" s="1166" t="s">
        <v>2546</v>
      </c>
      <c r="C7" s="2806" t="s">
        <v>2916</v>
      </c>
      <c r="D7" s="1879"/>
      <c r="E7" s="1169"/>
      <c r="F7" s="1170" t="s">
        <v>1670</v>
      </c>
      <c r="G7" s="2809" t="s">
        <v>2917</v>
      </c>
      <c r="H7" s="1877"/>
      <c r="I7" s="1877"/>
      <c r="J7" s="1877"/>
      <c r="K7" s="1877"/>
      <c r="L7" s="1877"/>
      <c r="M7" s="1877"/>
      <c r="N7" s="1877"/>
      <c r="O7" s="1877"/>
      <c r="P7" s="1877"/>
      <c r="Q7" s="1877"/>
    </row>
    <row r="8" spans="1:18" ht="27">
      <c r="A8" s="1164"/>
      <c r="B8" s="1166" t="s">
        <v>2547</v>
      </c>
      <c r="C8" s="2806" t="s">
        <v>2913</v>
      </c>
      <c r="D8" s="1879"/>
      <c r="E8" s="1879"/>
      <c r="F8" s="1462"/>
      <c r="G8" s="1462"/>
      <c r="H8" s="1877"/>
      <c r="I8" s="1877"/>
      <c r="J8" s="1877"/>
      <c r="K8" s="1877"/>
      <c r="L8" s="1877"/>
      <c r="M8" s="1877"/>
      <c r="N8" s="1877"/>
      <c r="O8" s="1877"/>
      <c r="P8" s="1877"/>
      <c r="Q8" s="1877"/>
    </row>
    <row r="9" spans="1:18" ht="40.5">
      <c r="A9" s="1164"/>
      <c r="B9" s="1166" t="s">
        <v>1656</v>
      </c>
      <c r="C9" s="2805" t="s">
        <v>2914</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workbookViewId="0">
      <selection activeCell="G9" sqref="G9"/>
    </sheetView>
  </sheetViews>
  <sheetFormatPr defaultColWidth="14.625" defaultRowHeight="13.5"/>
  <cols>
    <col min="1" max="1" width="24.375" customWidth="1"/>
    <col min="2" max="2" width="13.25" bestFit="1" customWidth="1"/>
  </cols>
  <sheetData>
    <row r="1" spans="1:10" ht="16.5">
      <c r="A1" s="2769" t="s">
        <v>2844</v>
      </c>
      <c r="B1" s="2769">
        <f>SUM(B14:B23)</f>
        <v>0</v>
      </c>
      <c r="C1" s="2770"/>
      <c r="D1" s="2770"/>
      <c r="E1" s="2770"/>
      <c r="F1" s="2770"/>
    </row>
    <row r="2" spans="1:10" ht="16.5">
      <c r="A2" s="2769" t="s">
        <v>2845</v>
      </c>
      <c r="B2" s="2769">
        <f>SUM(C14:C23)</f>
        <v>22771.17</v>
      </c>
      <c r="C2" s="2770"/>
      <c r="D2" s="2770"/>
      <c r="E2" s="2770"/>
      <c r="F2" s="2770"/>
    </row>
    <row r="3" spans="1:10" ht="16.5">
      <c r="A3" s="2769" t="s">
        <v>2846</v>
      </c>
      <c r="B3" s="2771">
        <f>项目基本情况!D3</f>
        <v>45344</v>
      </c>
      <c r="C3" s="2770"/>
      <c r="D3" s="2770"/>
      <c r="E3" s="2770"/>
      <c r="F3" s="2770"/>
    </row>
    <row r="4" spans="1:10" ht="33">
      <c r="A4" s="2769" t="s">
        <v>2847</v>
      </c>
      <c r="B4" s="2769" t="s">
        <v>2848</v>
      </c>
      <c r="C4" s="2769" t="s">
        <v>2849</v>
      </c>
      <c r="D4" s="2769" t="s">
        <v>2850</v>
      </c>
      <c r="E4" s="2770"/>
      <c r="F4" s="2770"/>
    </row>
    <row r="5" spans="1:10" ht="16.5">
      <c r="A5" s="2769" t="s">
        <v>2851</v>
      </c>
      <c r="B5" s="2769">
        <f>SUM(D14:D23)</f>
        <v>2183.7552000000001</v>
      </c>
      <c r="C5" s="2769" t="e">
        <f>ROUND(B5*10000/$B$1,0)</f>
        <v>#DIV/0!</v>
      </c>
      <c r="D5" s="2769">
        <f>ROUND(B5*10000/$B$2,0)</f>
        <v>959</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2869</v>
      </c>
      <c r="B11" s="2772"/>
      <c r="C11" s="2770"/>
      <c r="D11" s="2770"/>
      <c r="E11" s="2770"/>
      <c r="F11" s="2770"/>
    </row>
    <row r="12" spans="1:10" ht="16.5">
      <c r="A12" s="2770"/>
      <c r="B12" s="2770"/>
      <c r="C12" s="2770"/>
      <c r="D12" s="2770"/>
      <c r="E12" s="2770"/>
      <c r="F12" s="2770"/>
    </row>
    <row r="13" spans="1:10" ht="33">
      <c r="A13" s="2775" t="s">
        <v>2868</v>
      </c>
      <c r="B13" s="2773" t="s">
        <v>2844</v>
      </c>
      <c r="C13" s="2773" t="s">
        <v>2845</v>
      </c>
      <c r="D13" s="2773" t="s">
        <v>2857</v>
      </c>
      <c r="E13" s="2769" t="s">
        <v>2867</v>
      </c>
      <c r="F13" s="2769" t="s">
        <v>2850</v>
      </c>
      <c r="G13" s="2773" t="s">
        <v>2858</v>
      </c>
      <c r="H13" s="2773" t="s">
        <v>2859</v>
      </c>
      <c r="I13" s="2773" t="s">
        <v>2860</v>
      </c>
      <c r="J13" s="2978" t="s">
        <v>3147</v>
      </c>
    </row>
    <row r="14" spans="1:10" ht="16.5">
      <c r="A14" s="2999" t="s">
        <v>3175</v>
      </c>
      <c r="B14" s="2773"/>
      <c r="C14" s="2773"/>
      <c r="D14" s="2773"/>
      <c r="E14" s="2773" t="e">
        <f>ROUND(D14*10000/B14,0)</f>
        <v>#DIV/0!</v>
      </c>
      <c r="F14" s="2773" t="e">
        <f>ROUND(D14*10000/C14,0)</f>
        <v>#DIV/0!</v>
      </c>
      <c r="G14" s="2773" t="str">
        <f>结果表!C44</f>
        <v>——</v>
      </c>
      <c r="H14" s="2773" t="str">
        <f>结果表!C45</f>
        <v>——</v>
      </c>
      <c r="I14" s="2773" t="str">
        <f>结果表!C46</f>
        <v>——</v>
      </c>
      <c r="J14" t="e">
        <f>ROUND(F14*666.67/10000,2)</f>
        <v>#DIV/0!</v>
      </c>
    </row>
    <row r="15" spans="1:10" ht="16.5">
      <c r="A15" s="2999" t="s">
        <v>3176</v>
      </c>
      <c r="B15" s="2773"/>
      <c r="C15" s="2773">
        <f>'009-成本逼近法（出让'!G1</f>
        <v>22771.17</v>
      </c>
      <c r="D15" s="2773">
        <f>'009-成本逼近法（出让'!B2/10000</f>
        <v>2183.7552000000001</v>
      </c>
      <c r="E15" s="2773" t="e">
        <f t="shared" ref="E15:E23" si="2">ROUND(D15*10000/B15,0)</f>
        <v>#DIV/0!</v>
      </c>
      <c r="F15" s="2773">
        <f t="shared" ref="F15:F23" si="3">ROUND(D15*10000/C15,0)</f>
        <v>959</v>
      </c>
      <c r="G15" s="2774"/>
      <c r="H15" s="2774"/>
      <c r="I15" s="2777"/>
      <c r="J15">
        <f t="shared" ref="J15:J17" si="4">ROUND(F15*666.67/10000,2)</f>
        <v>63.93</v>
      </c>
    </row>
    <row r="16" spans="1:10" ht="16.5">
      <c r="A16" s="2999" t="s">
        <v>3177</v>
      </c>
      <c r="B16" s="2773"/>
      <c r="C16" s="2773"/>
      <c r="D16" s="2773"/>
      <c r="E16" s="2773" t="e">
        <f t="shared" si="2"/>
        <v>#DIV/0!</v>
      </c>
      <c r="F16" s="2773" t="e">
        <f t="shared" si="3"/>
        <v>#DIV/0!</v>
      </c>
      <c r="G16" s="2774"/>
      <c r="H16" s="2774"/>
      <c r="I16" s="2777"/>
      <c r="J16" t="e">
        <f t="shared" si="4"/>
        <v>#DIV/0!</v>
      </c>
    </row>
    <row r="17" spans="1:10" ht="16.5">
      <c r="A17" s="2999" t="s">
        <v>3178</v>
      </c>
      <c r="B17" s="2773"/>
      <c r="C17" s="2773"/>
      <c r="D17" s="2773"/>
      <c r="E17" s="2773" t="e">
        <f t="shared" si="2"/>
        <v>#DIV/0!</v>
      </c>
      <c r="F17" s="2773" t="e">
        <f t="shared" si="3"/>
        <v>#DIV/0!</v>
      </c>
      <c r="G17" s="2774"/>
      <c r="H17" s="2774"/>
      <c r="I17" s="2777"/>
      <c r="J17" t="e">
        <f t="shared" si="4"/>
        <v>#DIV/0!</v>
      </c>
    </row>
    <row r="18" spans="1:10" ht="16.5">
      <c r="A18" s="2776" t="s">
        <v>2861</v>
      </c>
      <c r="B18" s="2777"/>
      <c r="C18" s="2777"/>
      <c r="D18" s="2777"/>
      <c r="E18" s="2773" t="e">
        <f t="shared" si="2"/>
        <v>#DIV/0!</v>
      </c>
      <c r="F18" s="2773" t="e">
        <f t="shared" si="3"/>
        <v>#DIV/0!</v>
      </c>
      <c r="G18" s="2777"/>
      <c r="H18" s="2777"/>
      <c r="I18" s="2777"/>
    </row>
    <row r="19" spans="1:10" ht="16.5">
      <c r="A19" s="2776" t="s">
        <v>2862</v>
      </c>
      <c r="B19" s="2777"/>
      <c r="C19" s="2777"/>
      <c r="D19" s="2777"/>
      <c r="E19" s="2773" t="e">
        <f t="shared" si="2"/>
        <v>#DIV/0!</v>
      </c>
      <c r="F19" s="2773" t="e">
        <f t="shared" si="3"/>
        <v>#DIV/0!</v>
      </c>
      <c r="G19" s="2777"/>
      <c r="H19" s="2777"/>
      <c r="I19" s="2777"/>
    </row>
    <row r="20" spans="1:10" ht="16.5">
      <c r="A20" s="2776" t="s">
        <v>2863</v>
      </c>
      <c r="B20" s="2777"/>
      <c r="C20" s="2777"/>
      <c r="D20" s="2777"/>
      <c r="E20" s="2773" t="e">
        <f t="shared" si="2"/>
        <v>#DIV/0!</v>
      </c>
      <c r="F20" s="2773" t="e">
        <f t="shared" si="3"/>
        <v>#DIV/0!</v>
      </c>
      <c r="G20" s="2777"/>
      <c r="H20" s="2777"/>
      <c r="I20" s="2777"/>
    </row>
    <row r="21" spans="1:10" ht="16.5">
      <c r="A21" s="2776" t="s">
        <v>2864</v>
      </c>
      <c r="B21" s="2777"/>
      <c r="C21" s="2777"/>
      <c r="D21" s="2777"/>
      <c r="E21" s="2773" t="e">
        <f t="shared" si="2"/>
        <v>#DIV/0!</v>
      </c>
      <c r="F21" s="2773" t="e">
        <f t="shared" si="3"/>
        <v>#DIV/0!</v>
      </c>
      <c r="G21" s="2777"/>
      <c r="H21" s="2777"/>
      <c r="I21" s="2777"/>
    </row>
    <row r="22" spans="1:10" ht="16.5">
      <c r="A22" s="2776" t="s">
        <v>2865</v>
      </c>
      <c r="B22" s="2777"/>
      <c r="C22" s="2777"/>
      <c r="D22" s="2777"/>
      <c r="E22" s="2773" t="e">
        <f t="shared" si="2"/>
        <v>#DIV/0!</v>
      </c>
      <c r="F22" s="2773" t="e">
        <f t="shared" si="3"/>
        <v>#DIV/0!</v>
      </c>
      <c r="G22" s="2777"/>
      <c r="H22" s="2777"/>
      <c r="I22" s="2777"/>
    </row>
    <row r="23" spans="1:10" ht="16.5">
      <c r="A23" s="2776" t="s">
        <v>2866</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3126</v>
      </c>
      <c r="E1" s="1695" t="s">
        <v>2057</v>
      </c>
      <c r="F1" s="1697" t="s">
        <v>3127</v>
      </c>
      <c r="G1" s="294"/>
      <c r="H1" s="294"/>
      <c r="I1" s="294"/>
      <c r="J1" s="1865"/>
      <c r="K1" s="1865"/>
      <c r="L1" s="1865"/>
      <c r="M1" s="1865"/>
      <c r="N1" s="1865"/>
      <c r="O1" s="1865"/>
      <c r="P1" s="1865"/>
      <c r="Q1" s="1865"/>
      <c r="R1" s="1865"/>
      <c r="S1" s="1865"/>
      <c r="T1" s="1865"/>
      <c r="U1" s="1865"/>
      <c r="V1" s="1865"/>
    </row>
    <row r="2" spans="1:22" ht="21.75" customHeight="1" thickBot="1">
      <c r="A2" s="3122" t="str">
        <f>项目基本情况!K2</f>
        <v>出让国有建设用地使用权</v>
      </c>
      <c r="B2" s="3123"/>
      <c r="C2" s="3124"/>
      <c r="D2" s="3124"/>
      <c r="E2" s="3124"/>
      <c r="F2" s="3124"/>
      <c r="G2" s="3123"/>
      <c r="H2" s="3123"/>
      <c r="I2" s="3125"/>
      <c r="J2" s="1886"/>
      <c r="K2" s="1865"/>
      <c r="L2" s="1865"/>
      <c r="M2" s="1865"/>
      <c r="N2" s="1865"/>
      <c r="O2" s="1865"/>
      <c r="P2" s="1865"/>
      <c r="Q2" s="1865"/>
      <c r="R2" s="1865"/>
      <c r="S2" s="1865"/>
      <c r="T2" s="1865"/>
      <c r="U2" s="1865"/>
      <c r="V2" s="1865"/>
    </row>
    <row r="3" spans="1:22" ht="14.25">
      <c r="A3" s="3115" t="s">
        <v>298</v>
      </c>
      <c r="B3" s="3116"/>
      <c r="C3" s="3116"/>
      <c r="D3" s="3116"/>
      <c r="E3" s="3116"/>
      <c r="F3" s="3116"/>
      <c r="G3" s="3116"/>
      <c r="H3" s="3116"/>
      <c r="I3" s="3116"/>
      <c r="J3" s="1886"/>
      <c r="K3" s="1865"/>
      <c r="L3" s="1865"/>
      <c r="M3" s="1865"/>
      <c r="N3" s="1865"/>
      <c r="O3" s="1865"/>
      <c r="P3" s="1865"/>
      <c r="Q3" s="1865"/>
      <c r="R3" s="1865"/>
      <c r="S3" s="1865"/>
      <c r="T3" s="1865"/>
      <c r="U3" s="1865"/>
      <c r="V3" s="1865"/>
    </row>
    <row r="4" spans="1:22" ht="14.25">
      <c r="A4" s="245" t="s">
        <v>299</v>
      </c>
      <c r="B4" s="246" t="s">
        <v>300</v>
      </c>
      <c r="C4" s="247" t="s">
        <v>3125</v>
      </c>
      <c r="D4" s="247" t="s">
        <v>3125</v>
      </c>
      <c r="E4" s="3087" t="s">
        <v>301</v>
      </c>
      <c r="F4" s="3088"/>
      <c r="G4" s="3088"/>
      <c r="H4" s="3088"/>
      <c r="I4" s="3117"/>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086" t="s">
        <v>302</v>
      </c>
      <c r="B5" s="3112">
        <v>25</v>
      </c>
      <c r="C5" s="3110"/>
      <c r="D5" s="3114"/>
      <c r="E5" s="248" t="s">
        <v>303</v>
      </c>
      <c r="F5" s="249"/>
      <c r="G5" s="249"/>
      <c r="H5" s="249"/>
      <c r="I5" s="250"/>
      <c r="J5" s="1886"/>
      <c r="K5" s="1865"/>
      <c r="L5" s="1865"/>
      <c r="M5" s="1865"/>
      <c r="N5" s="1865"/>
      <c r="O5" s="1865"/>
      <c r="P5" s="1865"/>
      <c r="Q5" s="1865"/>
      <c r="R5" s="1865"/>
      <c r="S5" s="1865"/>
      <c r="T5" s="1865"/>
      <c r="U5" s="1865"/>
      <c r="V5" s="1865"/>
    </row>
    <row r="6" spans="1:22" ht="14.25">
      <c r="A6" s="3086"/>
      <c r="B6" s="3112"/>
      <c r="C6" s="3113"/>
      <c r="D6" s="3114"/>
      <c r="E6" s="248" t="s">
        <v>304</v>
      </c>
      <c r="F6" s="249"/>
      <c r="G6" s="249"/>
      <c r="H6" s="249"/>
      <c r="I6" s="250"/>
      <c r="J6" s="1886"/>
      <c r="K6" s="1865"/>
      <c r="L6" s="1865"/>
      <c r="M6" s="1865"/>
      <c r="N6" s="1865"/>
      <c r="O6" s="1865"/>
      <c r="P6" s="1865"/>
      <c r="Q6" s="1865"/>
      <c r="R6" s="1865"/>
      <c r="S6" s="1865"/>
      <c r="T6" s="1865"/>
      <c r="U6" s="1865"/>
      <c r="V6" s="1865"/>
    </row>
    <row r="7" spans="1:22" ht="14.25">
      <c r="A7" s="3086"/>
      <c r="B7" s="3112"/>
      <c r="C7" s="3111"/>
      <c r="D7" s="3114"/>
      <c r="E7" s="248" t="s">
        <v>305</v>
      </c>
      <c r="F7" s="249"/>
      <c r="G7" s="249"/>
      <c r="H7" s="249"/>
      <c r="I7" s="250"/>
      <c r="J7" s="1886"/>
      <c r="K7" s="1865"/>
      <c r="L7" s="1865"/>
      <c r="M7" s="1865"/>
      <c r="N7" s="1865"/>
      <c r="O7" s="1865"/>
      <c r="P7" s="1865"/>
      <c r="Q7" s="1865"/>
      <c r="R7" s="1865"/>
      <c r="S7" s="1865"/>
      <c r="T7" s="1865"/>
      <c r="U7" s="1865"/>
      <c r="V7" s="1865"/>
    </row>
    <row r="8" spans="1:22" ht="14.25">
      <c r="A8" s="3086" t="s">
        <v>306</v>
      </c>
      <c r="B8" s="3112">
        <v>15</v>
      </c>
      <c r="C8" s="3110"/>
      <c r="D8" s="3114"/>
      <c r="E8" s="248" t="s">
        <v>307</v>
      </c>
      <c r="F8" s="249"/>
      <c r="G8" s="249"/>
      <c r="H8" s="249"/>
      <c r="I8" s="250"/>
      <c r="J8" s="1886"/>
      <c r="K8" s="1865"/>
      <c r="L8" s="1865"/>
      <c r="M8" s="1865"/>
      <c r="N8" s="1865"/>
      <c r="O8" s="1865"/>
      <c r="P8" s="1865"/>
      <c r="Q8" s="1865"/>
      <c r="R8" s="1865"/>
      <c r="S8" s="1865"/>
      <c r="T8" s="1865"/>
      <c r="U8" s="1865"/>
      <c r="V8" s="1865"/>
    </row>
    <row r="9" spans="1:22" ht="14.25">
      <c r="A9" s="3086"/>
      <c r="B9" s="3112"/>
      <c r="C9" s="3111"/>
      <c r="D9" s="3114"/>
      <c r="E9" s="248" t="s">
        <v>308</v>
      </c>
      <c r="F9" s="249"/>
      <c r="G9" s="249"/>
      <c r="H9" s="249"/>
      <c r="I9" s="250"/>
      <c r="J9" s="1886"/>
      <c r="K9" s="1865"/>
      <c r="L9" s="1865"/>
      <c r="M9" s="1865"/>
      <c r="N9" s="1865"/>
      <c r="O9" s="1865"/>
      <c r="P9" s="1865"/>
      <c r="Q9" s="1865"/>
      <c r="R9" s="1865"/>
      <c r="S9" s="1865"/>
      <c r="T9" s="1865"/>
      <c r="U9" s="1865"/>
      <c r="V9" s="1865"/>
    </row>
    <row r="10" spans="1:22" ht="14.25">
      <c r="A10" s="3086" t="s">
        <v>309</v>
      </c>
      <c r="B10" s="3112">
        <v>15</v>
      </c>
      <c r="C10" s="3110"/>
      <c r="D10" s="3114"/>
      <c r="E10" s="248" t="s">
        <v>310</v>
      </c>
      <c r="F10" s="249"/>
      <c r="G10" s="249"/>
      <c r="H10" s="249"/>
      <c r="I10" s="250"/>
      <c r="J10" s="1886"/>
      <c r="K10" s="1865"/>
      <c r="L10" s="1865"/>
      <c r="M10" s="1865"/>
      <c r="N10" s="1865"/>
      <c r="O10" s="1865"/>
      <c r="P10" s="1865"/>
      <c r="Q10" s="1865"/>
      <c r="R10" s="1865"/>
      <c r="S10" s="1865"/>
      <c r="T10" s="1865"/>
      <c r="U10" s="1865"/>
      <c r="V10" s="1865"/>
    </row>
    <row r="11" spans="1:22" ht="14.25">
      <c r="A11" s="3086"/>
      <c r="B11" s="3112"/>
      <c r="C11" s="3111"/>
      <c r="D11" s="3114"/>
      <c r="E11" s="248" t="s">
        <v>311</v>
      </c>
      <c r="F11" s="249"/>
      <c r="G11" s="249"/>
      <c r="H11" s="249"/>
      <c r="I11" s="250"/>
      <c r="J11" s="1886"/>
      <c r="K11" s="1865"/>
      <c r="L11" s="1865"/>
      <c r="M11" s="1865"/>
      <c r="N11" s="1865"/>
      <c r="O11" s="1865"/>
      <c r="P11" s="1865"/>
      <c r="Q11" s="1865"/>
      <c r="R11" s="1865"/>
      <c r="S11" s="1865"/>
      <c r="T11" s="1865"/>
      <c r="U11" s="1865"/>
      <c r="V11" s="1865"/>
    </row>
    <row r="12" spans="1:22" ht="14.25">
      <c r="A12" s="3086" t="s">
        <v>312</v>
      </c>
      <c r="B12" s="3112">
        <v>15</v>
      </c>
      <c r="C12" s="3110"/>
      <c r="D12" s="3114"/>
      <c r="E12" s="248" t="s">
        <v>313</v>
      </c>
      <c r="F12" s="249"/>
      <c r="G12" s="249"/>
      <c r="H12" s="249"/>
      <c r="I12" s="250"/>
      <c r="J12" s="1886"/>
      <c r="K12" s="1865"/>
      <c r="L12" s="1865"/>
      <c r="M12" s="1865"/>
      <c r="N12" s="1865"/>
      <c r="O12" s="1865"/>
      <c r="P12" s="1865"/>
      <c r="Q12" s="1865"/>
      <c r="R12" s="1865"/>
      <c r="S12" s="1865"/>
      <c r="T12" s="1865"/>
      <c r="U12" s="1865"/>
      <c r="V12" s="1865"/>
    </row>
    <row r="13" spans="1:22" ht="14.25">
      <c r="A13" s="3086"/>
      <c r="B13" s="3112"/>
      <c r="C13" s="3111"/>
      <c r="D13" s="3114"/>
      <c r="E13" s="248" t="s">
        <v>314</v>
      </c>
      <c r="F13" s="249"/>
      <c r="G13" s="249"/>
      <c r="H13" s="249"/>
      <c r="I13" s="250"/>
      <c r="J13" s="1886"/>
      <c r="K13" s="1865"/>
      <c r="L13" s="1865"/>
      <c r="M13" s="1865"/>
      <c r="N13" s="1865"/>
      <c r="O13" s="1865"/>
      <c r="P13" s="1865"/>
      <c r="Q13" s="1865"/>
      <c r="R13" s="1865"/>
      <c r="S13" s="1865"/>
      <c r="T13" s="1865"/>
      <c r="U13" s="1865"/>
      <c r="V13" s="1865"/>
    </row>
    <row r="14" spans="1:22" ht="14.25">
      <c r="A14" s="3086" t="s">
        <v>315</v>
      </c>
      <c r="B14" s="3112">
        <v>30</v>
      </c>
      <c r="C14" s="3110">
        <v>1</v>
      </c>
      <c r="D14" s="3114">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086"/>
      <c r="B15" s="3112"/>
      <c r="C15" s="3113"/>
      <c r="D15" s="3114"/>
      <c r="E15" s="248" t="s">
        <v>317</v>
      </c>
      <c r="F15" s="249"/>
      <c r="G15" s="249"/>
      <c r="H15" s="249"/>
      <c r="I15" s="250"/>
      <c r="J15" s="1886"/>
      <c r="K15" s="1865"/>
      <c r="L15" s="1865"/>
      <c r="M15" s="1865"/>
      <c r="N15" s="1865"/>
      <c r="O15" s="1865"/>
      <c r="P15" s="1865"/>
      <c r="Q15" s="1865"/>
      <c r="R15" s="1865"/>
      <c r="S15" s="1865"/>
      <c r="T15" s="1865"/>
      <c r="U15" s="1865"/>
      <c r="V15" s="1865"/>
    </row>
    <row r="16" spans="1:22" ht="14.25">
      <c r="A16" s="3086"/>
      <c r="B16" s="3112"/>
      <c r="C16" s="3111"/>
      <c r="D16" s="3114"/>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092"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093"/>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2965</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092"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33"/>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34"/>
      <c r="F35" s="285" t="s">
        <v>342</v>
      </c>
      <c r="G35" s="932"/>
      <c r="H35" s="931" t="s">
        <v>343</v>
      </c>
      <c r="I35" s="294"/>
      <c r="J35" s="1865"/>
      <c r="K35" s="3107" t="s">
        <v>350</v>
      </c>
      <c r="L35" s="3107" t="s">
        <v>351</v>
      </c>
      <c r="M35" s="1195" t="s">
        <v>352</v>
      </c>
      <c r="N35" s="3107" t="s">
        <v>353</v>
      </c>
      <c r="O35" s="3107" t="s">
        <v>354</v>
      </c>
      <c r="P35" s="1865"/>
      <c r="V35" s="1865"/>
    </row>
    <row r="36" spans="1:22" ht="16.5" customHeight="1">
      <c r="A36" s="287" t="s">
        <v>344</v>
      </c>
      <c r="B36" s="288" t="s">
        <v>333</v>
      </c>
      <c r="C36" s="289" t="s">
        <v>345</v>
      </c>
      <c r="D36" s="289" t="s">
        <v>346</v>
      </c>
      <c r="E36" s="290" t="s">
        <v>347</v>
      </c>
      <c r="F36" s="294"/>
      <c r="G36" s="294"/>
      <c r="H36" s="294"/>
      <c r="I36" s="294"/>
      <c r="J36" s="1887"/>
      <c r="K36" s="3108"/>
      <c r="L36" s="3108"/>
      <c r="M36" s="1197" t="s">
        <v>355</v>
      </c>
      <c r="N36" s="3108"/>
      <c r="O36" s="3108"/>
      <c r="P36" s="1865"/>
      <c r="V36" s="1865"/>
    </row>
    <row r="37" spans="1:22" ht="16.5" customHeight="1" thickBot="1">
      <c r="A37" s="1191" t="s">
        <v>348</v>
      </c>
      <c r="B37" s="277"/>
      <c r="C37" s="278"/>
      <c r="D37" s="278"/>
      <c r="E37" s="279"/>
      <c r="F37" s="294"/>
      <c r="G37" s="294"/>
      <c r="H37" s="294"/>
      <c r="I37" s="294"/>
      <c r="J37" s="1887"/>
      <c r="K37" s="3109"/>
      <c r="L37" s="3109"/>
      <c r="M37" s="1198"/>
      <c r="N37" s="3109"/>
      <c r="O37" s="3109"/>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152" t="str">
        <f>MID(A44,3,LEN(A44)-2)</f>
        <v/>
      </c>
      <c r="L39" s="3153"/>
      <c r="M39" s="3153"/>
      <c r="N39" s="3154"/>
      <c r="O39" s="1318" t="str">
        <f>C44</f>
        <v>——</v>
      </c>
      <c r="P39" s="1865"/>
      <c r="V39" s="1865"/>
    </row>
    <row r="40" spans="1:22" ht="19.5" thickBot="1">
      <c r="A40" s="99" t="s">
        <v>873</v>
      </c>
      <c r="B40" s="294"/>
      <c r="C40" s="294"/>
      <c r="D40" s="294"/>
      <c r="E40" s="294"/>
      <c r="F40" s="294"/>
      <c r="G40" s="294"/>
      <c r="H40" s="294"/>
      <c r="I40" s="294"/>
      <c r="J40" s="1887"/>
      <c r="K40" s="3152" t="str">
        <f t="shared" ref="K40:K41" si="0">MID(A45,3,LEN(A45)-2)</f>
        <v/>
      </c>
      <c r="L40" s="3153"/>
      <c r="M40" s="3153"/>
      <c r="N40" s="3154"/>
      <c r="O40" s="1318" t="str">
        <f>C45</f>
        <v>——</v>
      </c>
      <c r="P40" s="1865"/>
      <c r="V40" s="1865"/>
    </row>
    <row r="41" spans="1:22" ht="16.5" thickBot="1">
      <c r="A41" s="295" t="s">
        <v>356</v>
      </c>
      <c r="B41" s="296"/>
      <c r="C41" s="297" t="s">
        <v>357</v>
      </c>
      <c r="D41" s="298" t="s">
        <v>358</v>
      </c>
      <c r="E41" s="298" t="s">
        <v>359</v>
      </c>
      <c r="F41" s="299" t="s">
        <v>360</v>
      </c>
      <c r="G41" s="294"/>
      <c r="H41" s="294"/>
      <c r="I41" s="294"/>
      <c r="J41" s="1887"/>
      <c r="K41" s="3152" t="str">
        <f t="shared" si="0"/>
        <v/>
      </c>
      <c r="L41" s="3153"/>
      <c r="M41" s="3153"/>
      <c r="N41" s="3154"/>
      <c r="O41" s="1318" t="str">
        <f>C46</f>
        <v>——</v>
      </c>
      <c r="P41" s="1865"/>
      <c r="V41" s="1865"/>
    </row>
    <row r="42" spans="1:22" ht="29.25">
      <c r="A42" s="3094" t="s">
        <v>2067</v>
      </c>
      <c r="B42" s="3095"/>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05" t="s">
        <v>2730</v>
      </c>
      <c r="B43" s="3106"/>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094" t="str">
        <f>IF(OR(项目基本情况!E8="抵押价格",项目基本情况!E8="已注销及未注销"),"3.抵押价格","——")</f>
        <v>——</v>
      </c>
      <c r="B44" s="3095"/>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100" t="str">
        <f>IF(项目基本情况!E8="已注销及未注销","4.抵押担保权已注销时的抵押价格",IF(项目基本情况!E8="已注销","3.抵押担保权已注销时的抵押价格","——"))</f>
        <v>——</v>
      </c>
      <c r="B45" s="3101"/>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096" t="str">
        <f>IF(项目基本情况!E9="抵押净值",IF(A45="——","4.抵押净值","5.抵押净值"),"——")</f>
        <v>——</v>
      </c>
      <c r="B46" s="3097"/>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41" t="s">
        <v>374</v>
      </c>
      <c r="B63" s="3142"/>
      <c r="C63" s="3143"/>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02" t="s">
        <v>378</v>
      </c>
      <c r="B64" s="3103"/>
      <c r="C64" s="3103"/>
      <c r="D64" s="3103"/>
      <c r="E64" s="3103"/>
      <c r="F64" s="3103"/>
      <c r="G64" s="3104"/>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098" t="s">
        <v>386</v>
      </c>
      <c r="B66" s="3099"/>
      <c r="C66" s="3099"/>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156" t="s">
        <v>385</v>
      </c>
      <c r="M66" s="3157"/>
      <c r="N66" s="2262"/>
      <c r="O66" s="2263"/>
      <c r="P66" s="2264"/>
      <c r="Q66" s="1865"/>
      <c r="R66" s="1865"/>
      <c r="S66" s="1865"/>
      <c r="T66" s="1865"/>
      <c r="U66" s="1865"/>
      <c r="V66" s="1865"/>
    </row>
    <row r="67" spans="1:22" ht="25.5" customHeight="1">
      <c r="A67" s="333" t="s">
        <v>390</v>
      </c>
      <c r="B67" s="3089" t="s">
        <v>391</v>
      </c>
      <c r="C67" s="3089"/>
      <c r="D67" s="334">
        <v>0</v>
      </c>
      <c r="E67" s="39" t="s">
        <v>392</v>
      </c>
      <c r="F67" s="60" t="s">
        <v>21</v>
      </c>
      <c r="G67" s="3144"/>
      <c r="H67" s="294"/>
      <c r="I67" s="1222"/>
      <c r="J67" s="1892"/>
      <c r="K67" s="1861">
        <v>2</v>
      </c>
      <c r="L67" s="3155" t="s">
        <v>389</v>
      </c>
      <c r="M67" s="3155"/>
      <c r="N67" s="1253">
        <f>'数据-取费表'!B2</f>
        <v>45344</v>
      </c>
      <c r="O67" s="1253"/>
      <c r="P67" s="1253"/>
      <c r="Q67" s="1865"/>
      <c r="R67" s="1865"/>
      <c r="S67" s="1865"/>
      <c r="T67" s="1865"/>
      <c r="U67" s="1865"/>
      <c r="V67" s="1865"/>
    </row>
    <row r="68" spans="1:22" ht="25.5" customHeight="1">
      <c r="A68" s="335"/>
      <c r="B68" s="3089" t="s">
        <v>394</v>
      </c>
      <c r="C68" s="3089"/>
      <c r="D68" s="336"/>
      <c r="E68" s="75"/>
      <c r="F68" s="337"/>
      <c r="G68" s="3145"/>
      <c r="H68" s="294"/>
      <c r="I68" s="1222"/>
      <c r="J68" s="1892"/>
      <c r="K68" s="1861">
        <v>3</v>
      </c>
      <c r="L68" s="3155" t="s">
        <v>393</v>
      </c>
      <c r="M68" s="3155"/>
      <c r="N68" s="1223" t="e">
        <f ca="1">C42</f>
        <v>#REF!</v>
      </c>
      <c r="O68" s="1223"/>
      <c r="P68" s="1223"/>
      <c r="Q68" s="1865"/>
      <c r="R68" s="1865"/>
      <c r="S68" s="1865"/>
      <c r="T68" s="1865"/>
      <c r="U68" s="1865"/>
      <c r="V68" s="1865"/>
    </row>
    <row r="69" spans="1:22" ht="12" customHeight="1">
      <c r="A69" s="338"/>
      <c r="B69" s="3089" t="s">
        <v>395</v>
      </c>
      <c r="C69" s="3089"/>
      <c r="D69" s="339"/>
      <c r="E69" s="71"/>
      <c r="F69" s="337"/>
      <c r="G69" s="3146"/>
      <c r="H69" s="294"/>
      <c r="I69" s="1222"/>
      <c r="J69" s="1892"/>
      <c r="K69" s="1224">
        <v>4</v>
      </c>
      <c r="L69" s="3160" t="s">
        <v>2879</v>
      </c>
      <c r="M69" s="3161"/>
      <c r="N69" s="1225" t="str">
        <f>C44</f>
        <v>——</v>
      </c>
      <c r="O69" s="1225"/>
      <c r="P69" s="1225"/>
      <c r="Q69" s="1865"/>
      <c r="R69" s="1865"/>
      <c r="S69" s="1865"/>
      <c r="T69" s="1865"/>
      <c r="U69" s="1865"/>
      <c r="V69" s="1865"/>
    </row>
    <row r="70" spans="1:22" ht="24" customHeight="1">
      <c r="A70" s="340" t="s">
        <v>396</v>
      </c>
      <c r="B70" s="3089" t="s">
        <v>397</v>
      </c>
      <c r="C70" s="3089"/>
      <c r="D70" s="339" t="e">
        <f ca="1">ROUND(D63*'数据-取费表'!B41/(1+'数据-取费表'!C42),0)</f>
        <v>#REF!</v>
      </c>
      <c r="E70" s="16" t="s">
        <v>398</v>
      </c>
      <c r="F70" s="341">
        <f>'数据-取费表'!B41</f>
        <v>0</v>
      </c>
      <c r="G70" s="342"/>
      <c r="H70" s="294"/>
      <c r="I70" s="1222"/>
      <c r="J70" s="1892"/>
      <c r="K70" s="2785"/>
      <c r="L70" s="2786"/>
      <c r="M70" s="2786"/>
      <c r="N70" s="2787" t="s">
        <v>2884</v>
      </c>
      <c r="O70" s="2786"/>
      <c r="P70" s="2788"/>
      <c r="Q70" s="1865"/>
      <c r="R70" s="1865"/>
      <c r="S70" s="1865"/>
      <c r="T70" s="1865"/>
      <c r="U70" s="1865"/>
      <c r="V70" s="1865"/>
    </row>
    <row r="71" spans="1:22" ht="12" customHeight="1">
      <c r="A71" s="340" t="s">
        <v>404</v>
      </c>
      <c r="B71" s="3090" t="s">
        <v>405</v>
      </c>
      <c r="C71" s="3091"/>
      <c r="D71" s="339" t="e">
        <f ca="1">ROUND(D63*'数据-取费表'!B41/(1+'数据-取费表'!C42),0)</f>
        <v>#REF!</v>
      </c>
      <c r="E71" s="16" t="s">
        <v>398</v>
      </c>
      <c r="F71" s="341">
        <f>'数据-取费表'!B41</f>
        <v>0</v>
      </c>
      <c r="G71" s="342"/>
      <c r="H71" s="294"/>
      <c r="I71" s="1222"/>
      <c r="J71" s="1892"/>
      <c r="K71" s="2784" t="s">
        <v>399</v>
      </c>
      <c r="L71" s="3162" t="s">
        <v>400</v>
      </c>
      <c r="M71" s="3162"/>
      <c r="N71" s="2784" t="s">
        <v>401</v>
      </c>
      <c r="O71" s="2784" t="s">
        <v>402</v>
      </c>
      <c r="P71" s="2784" t="s">
        <v>403</v>
      </c>
      <c r="Q71" s="1865"/>
      <c r="R71" s="1865"/>
      <c r="S71" s="1865"/>
      <c r="T71" s="1865"/>
      <c r="U71" s="1865"/>
      <c r="V71" s="1865"/>
    </row>
    <row r="72" spans="1:22" ht="12" customHeight="1">
      <c r="A72" s="340" t="s">
        <v>407</v>
      </c>
      <c r="B72" s="3090" t="s">
        <v>408</v>
      </c>
      <c r="C72" s="3091"/>
      <c r="D72" s="339" t="e">
        <f ca="1">C86</f>
        <v>#REF!</v>
      </c>
      <c r="E72" s="71" t="s">
        <v>409</v>
      </c>
      <c r="F72" s="341">
        <f>'数据-取费表'!B41</f>
        <v>0</v>
      </c>
      <c r="G72" s="342"/>
      <c r="H72" s="1228"/>
      <c r="I72" s="1222"/>
      <c r="J72" s="1892"/>
      <c r="K72" s="1861">
        <v>1</v>
      </c>
      <c r="L72" s="3137" t="s">
        <v>406</v>
      </c>
      <c r="M72" s="3137"/>
      <c r="N72" s="1226" t="e">
        <f ca="1">D66</f>
        <v>#REF!</v>
      </c>
      <c r="O72" s="1746" t="str">
        <f>E66</f>
        <v>销售额×税（费）率</v>
      </c>
      <c r="P72" s="1227">
        <f>F66</f>
        <v>0</v>
      </c>
      <c r="Q72" s="1865"/>
      <c r="R72" s="1865"/>
      <c r="S72" s="1865"/>
      <c r="T72" s="1865"/>
      <c r="U72" s="1865"/>
      <c r="V72" s="1865"/>
    </row>
    <row r="73" spans="1:22" ht="24" customHeight="1">
      <c r="A73" s="3131" t="s">
        <v>411</v>
      </c>
      <c r="B73" s="3099"/>
      <c r="C73" s="3099"/>
      <c r="D73" s="343">
        <f>IF(H73="个人住宅",0,ROUND(D63*I73,0))</f>
        <v>0</v>
      </c>
      <c r="E73" s="16" t="s">
        <v>412</v>
      </c>
      <c r="F73" s="341" t="str">
        <f>IF(H73="正常",I73,"免征")</f>
        <v>免征</v>
      </c>
      <c r="G73" s="342"/>
      <c r="H73" s="181" t="s">
        <v>2455</v>
      </c>
      <c r="I73" s="341">
        <f>'数据-取费表'!B49</f>
        <v>0</v>
      </c>
      <c r="J73" s="1892"/>
      <c r="K73" s="1861">
        <v>2</v>
      </c>
      <c r="L73" s="3137" t="s">
        <v>410</v>
      </c>
      <c r="M73" s="3137"/>
      <c r="N73" s="1226">
        <f t="shared" ref="N73:P74" si="1">D73</f>
        <v>0</v>
      </c>
      <c r="O73" s="1746" t="str">
        <f t="shared" si="1"/>
        <v>销售额×税（费）率</v>
      </c>
      <c r="P73" s="1227" t="str">
        <f t="shared" si="1"/>
        <v>免征</v>
      </c>
      <c r="Q73" s="1865"/>
      <c r="R73" s="1865"/>
      <c r="S73" s="1865"/>
      <c r="T73" s="1865"/>
      <c r="U73" s="1865"/>
      <c r="V73" s="1865"/>
    </row>
    <row r="74" spans="1:22" ht="24.75">
      <c r="A74" s="3131" t="s">
        <v>415</v>
      </c>
      <c r="B74" s="3099"/>
      <c r="C74" s="3099"/>
      <c r="D74" s="343" t="e">
        <f ca="1">IF(H74="个人住宅",D75,D76)</f>
        <v>#REF!</v>
      </c>
      <c r="E74" s="16" t="s">
        <v>416</v>
      </c>
      <c r="F74" s="341" t="str">
        <f>IF(H74="正常",F76,"免征")</f>
        <v>——</v>
      </c>
      <c r="G74" s="933" t="s">
        <v>417</v>
      </c>
      <c r="H74" s="344" t="s">
        <v>413</v>
      </c>
      <c r="I74" s="40"/>
      <c r="J74" s="1892"/>
      <c r="K74" s="1861">
        <v>3</v>
      </c>
      <c r="L74" s="3137" t="s">
        <v>414</v>
      </c>
      <c r="M74" s="3137"/>
      <c r="N74" s="1226" t="e">
        <f t="shared" ca="1" si="1"/>
        <v>#REF!</v>
      </c>
      <c r="O74" s="1746" t="str">
        <f t="shared" si="1"/>
        <v>增值额×税（费）率</v>
      </c>
      <c r="P74" s="1229" t="str">
        <f t="shared" si="1"/>
        <v>——</v>
      </c>
      <c r="Q74" s="1865"/>
      <c r="R74" s="1865"/>
      <c r="S74" s="1865"/>
      <c r="T74" s="1865"/>
      <c r="U74" s="1865"/>
      <c r="V74" s="1865"/>
    </row>
    <row r="75" spans="1:22" ht="24">
      <c r="A75" s="340" t="s">
        <v>418</v>
      </c>
      <c r="B75" s="3087" t="s">
        <v>419</v>
      </c>
      <c r="C75" s="3117"/>
      <c r="D75" s="345">
        <v>0</v>
      </c>
      <c r="E75" s="39" t="s">
        <v>420</v>
      </c>
      <c r="F75" s="346"/>
      <c r="G75" s="342"/>
      <c r="H75" s="40"/>
      <c r="I75" s="40"/>
      <c r="J75" s="1892"/>
      <c r="K75" s="1861">
        <f>IF(H77="非个人房产","",4)</f>
        <v>4</v>
      </c>
      <c r="L75" s="3137" t="str">
        <f>IF(H77="非个人房产","——","个人所得税")</f>
        <v>个人所得税</v>
      </c>
      <c r="M75" s="3137"/>
      <c r="N75" s="1230" t="e">
        <f ca="1">D77</f>
        <v>#REF!</v>
      </c>
      <c r="O75" s="1759" t="str">
        <f>E77</f>
        <v>销售额×税（费）率</v>
      </c>
      <c r="P75" s="1231">
        <f>F77</f>
        <v>0.01</v>
      </c>
      <c r="Q75" s="1865"/>
      <c r="R75" s="1865"/>
      <c r="S75" s="1865"/>
      <c r="T75" s="1865"/>
      <c r="U75" s="1865"/>
      <c r="V75" s="1865"/>
    </row>
    <row r="76" spans="1:22" ht="24.75">
      <c r="A76" s="340" t="s">
        <v>396</v>
      </c>
      <c r="B76" s="3087" t="s">
        <v>422</v>
      </c>
      <c r="C76" s="3088"/>
      <c r="D76" s="343" t="e">
        <f ca="1">IF(H76="转让取得",C99,C115)</f>
        <v>#REF!</v>
      </c>
      <c r="E76" s="16" t="s">
        <v>423</v>
      </c>
      <c r="F76" s="51" t="s">
        <v>21</v>
      </c>
      <c r="G76" s="342"/>
      <c r="H76" s="344" t="s">
        <v>424</v>
      </c>
      <c r="I76" s="40"/>
      <c r="J76" s="1892"/>
      <c r="K76" s="1861" t="str">
        <f>IF(项目基本情况!K6="上海银行",IF(K75="",4,K75+1),"")</f>
        <v/>
      </c>
      <c r="L76" s="3148" t="str">
        <f>IF(项目基本情况!K6="上海银行","其他处置费用","")</f>
        <v/>
      </c>
      <c r="M76" s="3149"/>
      <c r="N76" s="1226" t="str">
        <f>IF(项目基本情况!K6="上海银行",N89,"")</f>
        <v/>
      </c>
      <c r="O76" s="3150" t="str">
        <f>IF(项目基本情况!K6="上海银行","包含处置中涉及的律师、诉讼、拍卖、评估等费用","")</f>
        <v/>
      </c>
      <c r="P76" s="3151"/>
      <c r="Q76" s="1865"/>
      <c r="R76" s="1865"/>
      <c r="S76" s="1865"/>
      <c r="T76" s="1865"/>
      <c r="U76" s="1865"/>
      <c r="V76" s="1865"/>
    </row>
    <row r="77" spans="1:22" ht="26.25" thickBot="1">
      <c r="A77" s="3139" t="s">
        <v>426</v>
      </c>
      <c r="B77" s="3140"/>
      <c r="C77" s="3140"/>
      <c r="D77" s="347" t="e">
        <f ca="1">IF(H77="非个人房产","——",IF(H77="个人住宅",0,ROUND(D63*I77,0)))</f>
        <v>#REF!</v>
      </c>
      <c r="E77" s="348" t="str">
        <f>IF(H77="非个人房产","——","销售额×税（费）率")</f>
        <v>销售额×税（费）率</v>
      </c>
      <c r="F77" s="349">
        <f>IF(H77="非个人房产","——",IF(H77="个人住宅","免征",I77))</f>
        <v>0.01</v>
      </c>
      <c r="G77" s="934" t="s">
        <v>417</v>
      </c>
      <c r="H77" s="344" t="s">
        <v>2880</v>
      </c>
      <c r="I77" s="350">
        <v>0.01</v>
      </c>
      <c r="J77" s="1892"/>
      <c r="K77" s="3138">
        <f>IF(AND(K75="",K76=""),4,IF(项目基本情况!K6="上海银行",K76+1,K75+1))</f>
        <v>5</v>
      </c>
      <c r="L77" s="3137" t="s">
        <v>2881</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38"/>
      <c r="L78" s="3137"/>
      <c r="M78" s="2783" t="s">
        <v>425</v>
      </c>
      <c r="N78" s="1232"/>
      <c r="O78" s="1233" t="str">
        <f ca="1">NUMBERSTRING(INT(O77*10000),2)&amp;"元整"</f>
        <v>零元整</v>
      </c>
      <c r="P78" s="1234"/>
      <c r="Q78" s="1865"/>
      <c r="R78" s="1865"/>
      <c r="S78" s="1865"/>
      <c r="T78" s="1865"/>
      <c r="U78" s="1865"/>
      <c r="V78" s="1865"/>
    </row>
    <row r="79" spans="1:22" ht="13.5" thickBot="1">
      <c r="A79" s="3132" t="s">
        <v>427</v>
      </c>
      <c r="B79" s="3132"/>
      <c r="C79" s="3132"/>
      <c r="D79" s="3132"/>
      <c r="E79" s="3132"/>
      <c r="F79" s="40"/>
      <c r="G79" s="40"/>
      <c r="H79" s="901"/>
      <c r="I79" s="294"/>
      <c r="J79" s="1892"/>
      <c r="K79" s="3158">
        <f>K77+1</f>
        <v>6</v>
      </c>
      <c r="L79" s="3137" t="s">
        <v>2882</v>
      </c>
      <c r="M79" s="2783" t="s">
        <v>421</v>
      </c>
      <c r="N79" s="1232"/>
      <c r="O79" s="1233" t="e">
        <f ca="1">N69-O77</f>
        <v>#VALUE!</v>
      </c>
      <c r="P79" s="1234"/>
      <c r="Q79" s="1865"/>
      <c r="R79" s="1865"/>
      <c r="S79" s="1865"/>
      <c r="T79" s="1865"/>
      <c r="U79" s="1865"/>
      <c r="V79" s="1865"/>
    </row>
    <row r="80" spans="1:22" ht="12.75">
      <c r="A80" s="3127" t="s">
        <v>428</v>
      </c>
      <c r="B80" s="3128"/>
      <c r="C80" s="943"/>
      <c r="D80" s="943" t="s">
        <v>429</v>
      </c>
      <c r="E80" s="351" t="s">
        <v>430</v>
      </c>
      <c r="F80" s="40"/>
      <c r="G80" s="40"/>
      <c r="H80" s="901"/>
      <c r="I80" s="294"/>
      <c r="J80" s="1865"/>
      <c r="K80" s="3159"/>
      <c r="L80" s="3137"/>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35" t="s">
        <v>2883</v>
      </c>
      <c r="M81" s="3136"/>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147" t="s">
        <v>2870</v>
      </c>
      <c r="L83" s="2789" t="s">
        <v>2871</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2938</v>
      </c>
      <c r="F84" s="40"/>
      <c r="G84" s="40"/>
      <c r="H84" s="901"/>
      <c r="I84" s="294"/>
      <c r="J84" s="1865"/>
      <c r="K84" s="3147"/>
      <c r="L84" s="2789" t="s">
        <v>2872</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2873</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147"/>
      <c r="L85" s="2789" t="s">
        <v>2874</v>
      </c>
      <c r="M85" s="2779" t="e">
        <f>IF(N69&gt;1000,N69*0.1%,IF(AND(N69&gt;500,N69&lt;=1000),N69*0.5%,IF(AND(N69&gt;50,N69&lt;=500),N69*1%,IF(AND(N69&gt;1,N69&lt;=50),N69*1.5%))))</f>
        <v>#VALUE!</v>
      </c>
      <c r="N85" s="51" t="e">
        <f t="shared" si="2"/>
        <v>#VALUE!</v>
      </c>
      <c r="O85" s="1865" t="s">
        <v>2873</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147"/>
      <c r="L86" s="2789" t="s">
        <v>2875</v>
      </c>
      <c r="M86" s="2779" t="e">
        <f>N69*0.5%</f>
        <v>#VALUE!</v>
      </c>
      <c r="N86" s="51" t="e">
        <f>IF(M86&gt;0.5,0.5,ROUND(M86,0))</f>
        <v>#VALUE!</v>
      </c>
      <c r="O86" s="1865" t="s">
        <v>2876</v>
      </c>
      <c r="P86" s="1865"/>
      <c r="Q86" s="1865"/>
      <c r="R86" s="1865"/>
      <c r="S86" s="1865"/>
      <c r="T86" s="1865"/>
      <c r="U86" s="1865"/>
      <c r="V86" s="1865"/>
    </row>
    <row r="87" spans="1:26" ht="14.25" customHeight="1">
      <c r="A87" s="1239"/>
      <c r="B87" s="1240"/>
      <c r="C87" s="1241"/>
      <c r="D87" s="1242"/>
      <c r="E87" s="1243"/>
      <c r="F87" s="40"/>
      <c r="G87" s="40"/>
      <c r="H87" s="901"/>
      <c r="I87" s="294"/>
      <c r="J87" s="1865"/>
      <c r="K87" s="3147"/>
      <c r="L87" s="2789" t="s">
        <v>2877</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29" t="s">
        <v>437</v>
      </c>
      <c r="B88" s="3130"/>
      <c r="C88" s="3130"/>
      <c r="D88" s="3130"/>
      <c r="E88" s="3130"/>
      <c r="F88" s="3130"/>
      <c r="G88" s="3130"/>
      <c r="H88" s="3130"/>
      <c r="I88" s="1244"/>
      <c r="J88" s="1893"/>
      <c r="K88" s="3147"/>
      <c r="L88" s="2789" t="s">
        <v>2878</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27" t="s">
        <v>428</v>
      </c>
      <c r="B89" s="3128"/>
      <c r="C89" s="943"/>
      <c r="D89" s="943" t="s">
        <v>429</v>
      </c>
      <c r="E89" s="372" t="s">
        <v>438</v>
      </c>
      <c r="F89" s="373"/>
      <c r="G89" s="373"/>
      <c r="H89" s="374"/>
      <c r="I89" s="1245"/>
      <c r="J89" s="1895"/>
      <c r="K89" s="3147"/>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090" t="s">
        <v>447</v>
      </c>
      <c r="F94" s="3089"/>
      <c r="G94" s="3089"/>
      <c r="H94" s="3126"/>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18" t="s">
        <v>2428</v>
      </c>
      <c r="F96" s="3119"/>
      <c r="G96" s="3119"/>
      <c r="H96" s="3120"/>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29" t="s">
        <v>454</v>
      </c>
      <c r="B101" s="3130"/>
      <c r="C101" s="3130"/>
      <c r="D101" s="3130"/>
      <c r="E101" s="3130"/>
      <c r="F101" s="3130"/>
      <c r="G101" s="3130"/>
      <c r="H101" s="3130"/>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27" t="s">
        <v>428</v>
      </c>
      <c r="B102" s="3128"/>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21" t="s">
        <v>462</v>
      </c>
      <c r="F109" s="3119"/>
      <c r="G109" s="3119"/>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21" t="s">
        <v>464</v>
      </c>
      <c r="F110" s="3119"/>
      <c r="G110" s="3119"/>
      <c r="H110" s="3120"/>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18" t="s">
        <v>2428</v>
      </c>
      <c r="F111" s="3119"/>
      <c r="G111" s="3119"/>
      <c r="H111" s="3120"/>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21" t="s">
        <v>2453</v>
      </c>
      <c r="F112" s="3119"/>
      <c r="G112" s="3119"/>
      <c r="H112" s="3120"/>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2969</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2970</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3000" t="str">
        <f>项目基本情况!B1</f>
        <v>出让国有建设用地使用权预评估</v>
      </c>
      <c r="C37" s="3000"/>
      <c r="D37" s="3000"/>
      <c r="E37" s="3000"/>
      <c r="F37" s="3000"/>
      <c r="G37" s="3000"/>
      <c r="H37" s="3000"/>
      <c r="I37" s="3000"/>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72" t="s">
        <v>522</v>
      </c>
      <c r="D6" s="3173"/>
      <c r="E6" s="3172" t="s">
        <v>523</v>
      </c>
      <c r="F6" s="3173"/>
      <c r="G6" s="3172" t="s">
        <v>524</v>
      </c>
      <c r="H6" s="3173"/>
      <c r="I6" s="3172" t="s">
        <v>525</v>
      </c>
      <c r="J6" s="3173"/>
      <c r="K6" s="492" t="s">
        <v>526</v>
      </c>
      <c r="L6" s="1985"/>
      <c r="M6" s="1984"/>
      <c r="N6" s="1984"/>
      <c r="O6" s="1986"/>
      <c r="P6" s="3174" t="s">
        <v>527</v>
      </c>
      <c r="Q6" s="3175"/>
      <c r="R6" s="3180" t="s">
        <v>523</v>
      </c>
      <c r="S6" s="3181"/>
      <c r="T6" s="3180" t="s">
        <v>524</v>
      </c>
      <c r="U6" s="3181"/>
      <c r="V6" s="3167" t="s">
        <v>525</v>
      </c>
      <c r="W6" s="3167"/>
      <c r="X6" s="1473"/>
      <c r="Y6" s="3180" t="s">
        <v>527</v>
      </c>
      <c r="Z6" s="3181"/>
      <c r="AA6" s="3169" t="s">
        <v>523</v>
      </c>
      <c r="AB6" s="3170" t="s">
        <v>524</v>
      </c>
      <c r="AC6" s="3169" t="s">
        <v>525</v>
      </c>
    </row>
    <row r="7" spans="1:29" ht="20.25">
      <c r="A7" s="493"/>
      <c r="B7" s="494"/>
      <c r="C7" s="3188" t="s">
        <v>2927</v>
      </c>
      <c r="D7" s="3189"/>
      <c r="E7" s="3188" t="s">
        <v>2928</v>
      </c>
      <c r="F7" s="3189"/>
      <c r="G7" s="3188" t="s">
        <v>2929</v>
      </c>
      <c r="H7" s="3189"/>
      <c r="I7" s="3188" t="s">
        <v>2930</v>
      </c>
      <c r="J7" s="3189"/>
      <c r="K7" s="492"/>
      <c r="L7" s="1985"/>
      <c r="M7" s="1984"/>
      <c r="N7" s="1984"/>
      <c r="O7" s="1986"/>
      <c r="P7" s="3176"/>
      <c r="Q7" s="3177"/>
      <c r="R7" s="3182"/>
      <c r="S7" s="3183"/>
      <c r="T7" s="3182"/>
      <c r="U7" s="3183"/>
      <c r="V7" s="3167"/>
      <c r="W7" s="3167"/>
      <c r="X7" s="1473"/>
      <c r="Y7" s="3182"/>
      <c r="Z7" s="3183"/>
      <c r="AA7" s="3170"/>
      <c r="AB7" s="3170"/>
      <c r="AC7" s="3170"/>
    </row>
    <row r="8" spans="1:29" ht="21" thickBot="1">
      <c r="A8" s="493"/>
      <c r="B8" s="494"/>
      <c r="C8" s="3190" t="s">
        <v>2931</v>
      </c>
      <c r="D8" s="3191"/>
      <c r="E8" s="3190" t="s">
        <v>2931</v>
      </c>
      <c r="F8" s="3191"/>
      <c r="G8" s="3186" t="s">
        <v>2931</v>
      </c>
      <c r="H8" s="3187"/>
      <c r="I8" s="3186" t="s">
        <v>2931</v>
      </c>
      <c r="J8" s="3187"/>
      <c r="K8" s="492" t="s">
        <v>528</v>
      </c>
      <c r="L8" s="1985"/>
      <c r="M8" s="1984"/>
      <c r="N8" s="1984"/>
      <c r="O8" s="1986"/>
      <c r="P8" s="3178"/>
      <c r="Q8" s="3179"/>
      <c r="R8" s="3182"/>
      <c r="S8" s="3183"/>
      <c r="T8" s="3184"/>
      <c r="U8" s="3185"/>
      <c r="V8" s="3167"/>
      <c r="W8" s="3167"/>
      <c r="X8" s="1473"/>
      <c r="Y8" s="3184"/>
      <c r="Z8" s="3185"/>
      <c r="AA8" s="3171"/>
      <c r="AB8" s="3171"/>
      <c r="AC8" s="3171"/>
    </row>
    <row r="9" spans="1:29" s="1155" customFormat="1" ht="21" thickBot="1">
      <c r="A9" s="2646"/>
      <c r="B9" s="2653" t="s">
        <v>529</v>
      </c>
      <c r="C9" s="2645">
        <f>'数据-取费表'!B2</f>
        <v>45344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97" t="s">
        <v>530</v>
      </c>
      <c r="Q9" s="3199"/>
      <c r="R9" s="1474" t="s">
        <v>8</v>
      </c>
      <c r="S9" s="1475">
        <f t="shared" ref="S9:S17" si="0">F9</f>
        <v>0</v>
      </c>
      <c r="T9" s="1474" t="s">
        <v>8</v>
      </c>
      <c r="U9" s="1475">
        <f t="shared" ref="U9:U17" si="1">H9</f>
        <v>0</v>
      </c>
      <c r="V9" s="1474" t="s">
        <v>8</v>
      </c>
      <c r="W9" s="1475">
        <f t="shared" ref="W9:W17" si="2">J9</f>
        <v>0</v>
      </c>
      <c r="X9" s="1476"/>
      <c r="Y9" s="3197" t="s">
        <v>530</v>
      </c>
      <c r="Z9" s="3198"/>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97" t="s">
        <v>533</v>
      </c>
      <c r="Q10" s="3198"/>
      <c r="R10" s="1474" t="s">
        <v>8</v>
      </c>
      <c r="S10" s="1475">
        <f t="shared" si="0"/>
        <v>0</v>
      </c>
      <c r="T10" s="1474" t="s">
        <v>8</v>
      </c>
      <c r="U10" s="1475">
        <f t="shared" si="1"/>
        <v>0</v>
      </c>
      <c r="V10" s="1474" t="s">
        <v>8</v>
      </c>
      <c r="W10" s="1475">
        <f t="shared" si="2"/>
        <v>0</v>
      </c>
      <c r="X10" s="1476"/>
      <c r="Y10" s="3197" t="s">
        <v>533</v>
      </c>
      <c r="Z10" s="3198"/>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66" t="s">
        <v>535</v>
      </c>
      <c r="Q11" s="852" t="str">
        <f t="shared" ref="Q11:Q17" si="6">B11</f>
        <v>用途</v>
      </c>
      <c r="R11" s="1474" t="s">
        <v>8</v>
      </c>
      <c r="S11" s="1475">
        <f t="shared" si="0"/>
        <v>100</v>
      </c>
      <c r="T11" s="1474" t="s">
        <v>8</v>
      </c>
      <c r="U11" s="1475">
        <f t="shared" si="1"/>
        <v>100</v>
      </c>
      <c r="V11" s="1474" t="s">
        <v>8</v>
      </c>
      <c r="W11" s="1475">
        <f t="shared" si="2"/>
        <v>100</v>
      </c>
      <c r="X11" s="1476"/>
      <c r="Y11" s="3112"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66"/>
      <c r="Q12" s="852" t="str">
        <f t="shared" si="6"/>
        <v>土地使用年限（年）</v>
      </c>
      <c r="R12" s="1474" t="s">
        <v>8</v>
      </c>
      <c r="S12" s="1475" t="e">
        <f t="shared" si="0"/>
        <v>#DIV/0!</v>
      </c>
      <c r="T12" s="1474" t="s">
        <v>8</v>
      </c>
      <c r="U12" s="1475" t="e">
        <f t="shared" si="1"/>
        <v>#DIV/0!</v>
      </c>
      <c r="V12" s="1474" t="s">
        <v>8</v>
      </c>
      <c r="W12" s="1475" t="e">
        <f t="shared" si="2"/>
        <v>#DIV/0!</v>
      </c>
      <c r="X12" s="1476"/>
      <c r="Y12" s="3112"/>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66"/>
      <c r="Q13" s="852" t="str">
        <f t="shared" si="6"/>
        <v>容积率</v>
      </c>
      <c r="R13" s="1474" t="s">
        <v>8</v>
      </c>
      <c r="S13" s="1475" t="e">
        <f t="shared" si="0"/>
        <v>#N/A</v>
      </c>
      <c r="T13" s="1474" t="s">
        <v>8</v>
      </c>
      <c r="U13" s="1475" t="e">
        <f t="shared" si="1"/>
        <v>#N/A</v>
      </c>
      <c r="V13" s="1474" t="s">
        <v>8</v>
      </c>
      <c r="W13" s="1475" t="e">
        <f t="shared" si="2"/>
        <v>#N/A</v>
      </c>
      <c r="X13" s="1476"/>
      <c r="Y13" s="3112"/>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66"/>
      <c r="Q14" s="852" t="str">
        <f t="shared" si="6"/>
        <v>配建</v>
      </c>
      <c r="R14" s="1474" t="s">
        <v>8</v>
      </c>
      <c r="S14" s="1475">
        <f t="shared" si="0"/>
        <v>100</v>
      </c>
      <c r="T14" s="1474" t="s">
        <v>8</v>
      </c>
      <c r="U14" s="1475">
        <f t="shared" si="1"/>
        <v>100</v>
      </c>
      <c r="V14" s="1474" t="s">
        <v>8</v>
      </c>
      <c r="W14" s="1475">
        <f t="shared" si="2"/>
        <v>100</v>
      </c>
      <c r="X14" s="1476"/>
      <c r="Y14" s="3112"/>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66"/>
      <c r="Q15" s="852">
        <f t="shared" si="6"/>
        <v>111</v>
      </c>
      <c r="R15" s="1474" t="s">
        <v>8</v>
      </c>
      <c r="S15" s="1475">
        <f t="shared" si="0"/>
        <v>100</v>
      </c>
      <c r="T15" s="1474" t="s">
        <v>8</v>
      </c>
      <c r="U15" s="1475">
        <f t="shared" si="1"/>
        <v>100</v>
      </c>
      <c r="V15" s="1474" t="s">
        <v>8</v>
      </c>
      <c r="W15" s="1475">
        <f t="shared" si="2"/>
        <v>100</v>
      </c>
      <c r="X15" s="1476"/>
      <c r="Y15" s="3112"/>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66"/>
      <c r="Q16" s="852">
        <f t="shared" si="6"/>
        <v>111</v>
      </c>
      <c r="R16" s="1474" t="s">
        <v>8</v>
      </c>
      <c r="S16" s="1475">
        <f t="shared" si="0"/>
        <v>100</v>
      </c>
      <c r="T16" s="1474" t="s">
        <v>8</v>
      </c>
      <c r="U16" s="1475">
        <f t="shared" si="1"/>
        <v>100</v>
      </c>
      <c r="V16" s="1474" t="s">
        <v>8</v>
      </c>
      <c r="W16" s="1475">
        <f t="shared" si="2"/>
        <v>100</v>
      </c>
      <c r="X16" s="1476"/>
      <c r="Y16" s="3112"/>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200" t="s">
        <v>540</v>
      </c>
      <c r="Q17" s="1477" t="str">
        <f t="shared" si="6"/>
        <v>居住社区成熟度</v>
      </c>
      <c r="R17" s="1478" t="s">
        <v>8</v>
      </c>
      <c r="S17" s="1479">
        <f t="shared" si="0"/>
        <v>100</v>
      </c>
      <c r="T17" s="1478" t="s">
        <v>8</v>
      </c>
      <c r="U17" s="1479">
        <f t="shared" si="1"/>
        <v>100</v>
      </c>
      <c r="V17" s="1478" t="s">
        <v>8</v>
      </c>
      <c r="W17" s="1479">
        <f t="shared" si="2"/>
        <v>100</v>
      </c>
      <c r="X17" s="1473"/>
      <c r="Y17" s="3200"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201"/>
      <c r="Q18" s="1477"/>
      <c r="R18" s="1478"/>
      <c r="S18" s="1479"/>
      <c r="T18" s="1478"/>
      <c r="U18" s="1479"/>
      <c r="V18" s="1478"/>
      <c r="W18" s="1479"/>
      <c r="X18" s="1473"/>
      <c r="Y18" s="3201"/>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201"/>
      <c r="Q19" s="1477" t="str">
        <f>B19</f>
        <v>商业繁华度</v>
      </c>
      <c r="R19" s="1478" t="s">
        <v>8</v>
      </c>
      <c r="S19" s="1479">
        <f>F19</f>
        <v>100</v>
      </c>
      <c r="T19" s="1478" t="s">
        <v>8</v>
      </c>
      <c r="U19" s="1479">
        <f>H19</f>
        <v>100</v>
      </c>
      <c r="V19" s="1478" t="s">
        <v>8</v>
      </c>
      <c r="W19" s="1479">
        <f>J19</f>
        <v>100</v>
      </c>
      <c r="X19" s="1473"/>
      <c r="Y19" s="3201"/>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201"/>
      <c r="Q20" s="1477"/>
      <c r="R20" s="1478"/>
      <c r="S20" s="1479"/>
      <c r="T20" s="1478"/>
      <c r="U20" s="1479"/>
      <c r="V20" s="1478"/>
      <c r="W20" s="1479"/>
      <c r="X20" s="1473"/>
      <c r="Y20" s="3201"/>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201"/>
      <c r="Q21" s="1477" t="str">
        <f>B21</f>
        <v>办公集聚程度</v>
      </c>
      <c r="R21" s="1478" t="s">
        <v>8</v>
      </c>
      <c r="S21" s="1479">
        <f>F21</f>
        <v>100</v>
      </c>
      <c r="T21" s="1478" t="s">
        <v>8</v>
      </c>
      <c r="U21" s="1479">
        <f>H21</f>
        <v>100</v>
      </c>
      <c r="V21" s="1478" t="s">
        <v>8</v>
      </c>
      <c r="W21" s="1479">
        <f>J21</f>
        <v>100</v>
      </c>
      <c r="X21" s="1473"/>
      <c r="Y21" s="3201"/>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201"/>
      <c r="Q22" s="1477"/>
      <c r="R22" s="1478"/>
      <c r="S22" s="1479"/>
      <c r="T22" s="1478"/>
      <c r="U22" s="1479"/>
      <c r="V22" s="1478"/>
      <c r="W22" s="1479"/>
      <c r="X22" s="1473"/>
      <c r="Y22" s="3201"/>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201"/>
      <c r="Q23" s="1477" t="str">
        <f>B23</f>
        <v>交通便捷度</v>
      </c>
      <c r="R23" s="1478" t="s">
        <v>8</v>
      </c>
      <c r="S23" s="1479">
        <f>F23</f>
        <v>100</v>
      </c>
      <c r="T23" s="1478" t="s">
        <v>8</v>
      </c>
      <c r="U23" s="1479">
        <f>H23</f>
        <v>100</v>
      </c>
      <c r="V23" s="1478" t="s">
        <v>8</v>
      </c>
      <c r="W23" s="1479">
        <f>J23</f>
        <v>100</v>
      </c>
      <c r="X23" s="1473"/>
      <c r="Y23" s="3201"/>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201"/>
      <c r="Q24" s="1477"/>
      <c r="R24" s="1478"/>
      <c r="S24" s="1479"/>
      <c r="T24" s="1478"/>
      <c r="U24" s="1479"/>
      <c r="V24" s="1478"/>
      <c r="W24" s="1479"/>
      <c r="X24" s="1473"/>
      <c r="Y24" s="3201"/>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201"/>
      <c r="Q25" s="1477" t="str">
        <f t="shared" ref="Q25:Q39" si="8">B25</f>
        <v>区域土地利用方向</v>
      </c>
      <c r="R25" s="1478" t="s">
        <v>8</v>
      </c>
      <c r="S25" s="1479">
        <f>F25</f>
        <v>100</v>
      </c>
      <c r="T25" s="1478" t="s">
        <v>8</v>
      </c>
      <c r="U25" s="1479">
        <f>H25</f>
        <v>100</v>
      </c>
      <c r="V25" s="1478" t="s">
        <v>8</v>
      </c>
      <c r="W25" s="1479">
        <f>J25</f>
        <v>100</v>
      </c>
      <c r="X25" s="1473"/>
      <c r="Y25" s="3201"/>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201"/>
      <c r="Q26" s="1477"/>
      <c r="R26" s="1478"/>
      <c r="S26" s="1479"/>
      <c r="T26" s="1478"/>
      <c r="U26" s="1479"/>
      <c r="V26" s="1478"/>
      <c r="W26" s="1479"/>
      <c r="X26" s="1473"/>
      <c r="Y26" s="3201"/>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201"/>
      <c r="Q27" s="1477" t="str">
        <f t="shared" si="8"/>
        <v>自然及人文环境状况</v>
      </c>
      <c r="R27" s="1478" t="s">
        <v>8</v>
      </c>
      <c r="S27" s="1479">
        <f>F27</f>
        <v>100</v>
      </c>
      <c r="T27" s="1478" t="s">
        <v>8</v>
      </c>
      <c r="U27" s="1479">
        <f>H27</f>
        <v>100</v>
      </c>
      <c r="V27" s="1478" t="s">
        <v>8</v>
      </c>
      <c r="W27" s="1479">
        <f>J27</f>
        <v>100</v>
      </c>
      <c r="X27" s="1473"/>
      <c r="Y27" s="3201"/>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201"/>
      <c r="Q28" s="1477"/>
      <c r="R28" s="1478"/>
      <c r="S28" s="1479"/>
      <c r="T28" s="1478"/>
      <c r="U28" s="1479"/>
      <c r="V28" s="1478"/>
      <c r="W28" s="1479"/>
      <c r="X28" s="1473"/>
      <c r="Y28" s="3201"/>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201"/>
      <c r="Q29" s="852" t="str">
        <f t="shared" si="8"/>
        <v>公共配套设施</v>
      </c>
      <c r="R29" s="1474" t="s">
        <v>8</v>
      </c>
      <c r="S29" s="1475">
        <f>F29</f>
        <v>100</v>
      </c>
      <c r="T29" s="1474" t="s">
        <v>8</v>
      </c>
      <c r="U29" s="1475">
        <f>H29</f>
        <v>100</v>
      </c>
      <c r="V29" s="1474" t="s">
        <v>8</v>
      </c>
      <c r="W29" s="1475">
        <f>J29</f>
        <v>100</v>
      </c>
      <c r="X29" s="1476"/>
      <c r="Y29" s="3201"/>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201"/>
      <c r="Q30" s="852"/>
      <c r="R30" s="1474"/>
      <c r="S30" s="1475"/>
      <c r="T30" s="1474"/>
      <c r="U30" s="1475"/>
      <c r="V30" s="1474"/>
      <c r="W30" s="1475"/>
      <c r="X30" s="1476"/>
      <c r="Y30" s="3201"/>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201"/>
      <c r="Q31" s="852" t="str">
        <f t="shared" ref="Q31" si="9">B31</f>
        <v>基础设施水平</v>
      </c>
      <c r="R31" s="1474" t="s">
        <v>8</v>
      </c>
      <c r="S31" s="1475">
        <f>F31</f>
        <v>100</v>
      </c>
      <c r="T31" s="1474" t="s">
        <v>8</v>
      </c>
      <c r="U31" s="1475">
        <f>H31</f>
        <v>100</v>
      </c>
      <c r="V31" s="1474" t="s">
        <v>8</v>
      </c>
      <c r="W31" s="1475">
        <f>J31</f>
        <v>100</v>
      </c>
      <c r="X31" s="1476"/>
      <c r="Y31" s="3201"/>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201"/>
      <c r="Q32" s="852"/>
      <c r="R32" s="1474"/>
      <c r="S32" s="1475"/>
      <c r="T32" s="1474"/>
      <c r="U32" s="1475"/>
      <c r="V32" s="1474"/>
      <c r="W32" s="1475"/>
      <c r="X32" s="1476"/>
      <c r="Y32" s="3201"/>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201"/>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201"/>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201"/>
      <c r="Q34" s="1477" t="str">
        <f t="shared" si="8"/>
        <v>毗邻道路的类型与等级</v>
      </c>
      <c r="R34" s="1478" t="s">
        <v>8</v>
      </c>
      <c r="S34" s="1479">
        <f t="shared" si="10"/>
        <v>100</v>
      </c>
      <c r="T34" s="1478" t="s">
        <v>8</v>
      </c>
      <c r="U34" s="1479">
        <f t="shared" si="11"/>
        <v>100</v>
      </c>
      <c r="V34" s="1478" t="s">
        <v>8</v>
      </c>
      <c r="W34" s="1479">
        <f t="shared" si="12"/>
        <v>100</v>
      </c>
      <c r="X34" s="1473"/>
      <c r="Y34" s="3201"/>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201"/>
      <c r="Q35" s="1477"/>
      <c r="R35" s="1478"/>
      <c r="S35" s="1479"/>
      <c r="T35" s="1478"/>
      <c r="U35" s="1479"/>
      <c r="V35" s="1478"/>
      <c r="W35" s="1479"/>
      <c r="X35" s="1473"/>
      <c r="Y35" s="3201"/>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201"/>
      <c r="Q36" s="1477" t="str">
        <f t="shared" si="8"/>
        <v>土地级别</v>
      </c>
      <c r="R36" s="1478" t="s">
        <v>8</v>
      </c>
      <c r="S36" s="1479">
        <f t="shared" si="10"/>
        <v>100</v>
      </c>
      <c r="T36" s="1478" t="s">
        <v>8</v>
      </c>
      <c r="U36" s="1479">
        <f t="shared" si="11"/>
        <v>100</v>
      </c>
      <c r="V36" s="1478" t="s">
        <v>8</v>
      </c>
      <c r="W36" s="1479">
        <f t="shared" si="12"/>
        <v>100</v>
      </c>
      <c r="X36" s="1473"/>
      <c r="Y36" s="3201"/>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201"/>
      <c r="Q37" s="1477">
        <f t="shared" si="8"/>
        <v>111</v>
      </c>
      <c r="R37" s="1478" t="s">
        <v>8</v>
      </c>
      <c r="S37" s="1479">
        <f t="shared" si="10"/>
        <v>100</v>
      </c>
      <c r="T37" s="1478" t="s">
        <v>8</v>
      </c>
      <c r="U37" s="1479">
        <f t="shared" si="11"/>
        <v>100</v>
      </c>
      <c r="V37" s="1478" t="s">
        <v>8</v>
      </c>
      <c r="W37" s="1479">
        <f t="shared" si="12"/>
        <v>100</v>
      </c>
      <c r="X37" s="1473"/>
      <c r="Y37" s="3201"/>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202" t="s">
        <v>550</v>
      </c>
      <c r="Q38" s="1477">
        <f t="shared" si="8"/>
        <v>111</v>
      </c>
      <c r="R38" s="1478" t="s">
        <v>8</v>
      </c>
      <c r="S38" s="1479">
        <f t="shared" si="10"/>
        <v>100</v>
      </c>
      <c r="T38" s="1478" t="s">
        <v>8</v>
      </c>
      <c r="U38" s="1479">
        <f t="shared" si="11"/>
        <v>100</v>
      </c>
      <c r="V38" s="1478" t="s">
        <v>8</v>
      </c>
      <c r="W38" s="1479">
        <f t="shared" si="12"/>
        <v>100</v>
      </c>
      <c r="X38" s="1473"/>
      <c r="Y38" s="3203"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203"/>
      <c r="Q39" s="1477">
        <f t="shared" si="8"/>
        <v>111</v>
      </c>
      <c r="R39" s="1481" t="s">
        <v>8</v>
      </c>
      <c r="S39" s="1482">
        <f t="shared" si="10"/>
        <v>100</v>
      </c>
      <c r="T39" s="1481" t="s">
        <v>8</v>
      </c>
      <c r="U39" s="1482">
        <f t="shared" si="11"/>
        <v>100</v>
      </c>
      <c r="V39" s="1481" t="s">
        <v>8</v>
      </c>
      <c r="W39" s="1482">
        <f t="shared" si="12"/>
        <v>100</v>
      </c>
      <c r="X39" s="1483"/>
      <c r="Y39" s="3203"/>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203"/>
      <c r="Q40" s="1477" t="str">
        <f>B40</f>
        <v>宗地面积</v>
      </c>
      <c r="R40" s="1478" t="s">
        <v>8</v>
      </c>
      <c r="S40" s="1479" t="e">
        <f t="shared" si="10"/>
        <v>#N/A</v>
      </c>
      <c r="T40" s="1478" t="s">
        <v>8</v>
      </c>
      <c r="U40" s="1479" t="e">
        <f t="shared" si="11"/>
        <v>#N/A</v>
      </c>
      <c r="V40" s="1478" t="s">
        <v>8</v>
      </c>
      <c r="W40" s="1479" t="e">
        <f t="shared" si="12"/>
        <v>#N/A</v>
      </c>
      <c r="X40" s="1473"/>
      <c r="Y40" s="3203"/>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203"/>
      <c r="Q41" s="1477" t="str">
        <f t="shared" ref="Q41:Q47" si="14">B41</f>
        <v>宗地形状</v>
      </c>
      <c r="R41" s="1478" t="s">
        <v>8</v>
      </c>
      <c r="S41" s="1479">
        <f t="shared" si="10"/>
        <v>100</v>
      </c>
      <c r="T41" s="1478" t="s">
        <v>8</v>
      </c>
      <c r="U41" s="1479">
        <f t="shared" si="11"/>
        <v>100</v>
      </c>
      <c r="V41" s="1478" t="s">
        <v>8</v>
      </c>
      <c r="W41" s="1479">
        <f t="shared" si="12"/>
        <v>100</v>
      </c>
      <c r="X41" s="1473"/>
      <c r="Y41" s="3203"/>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203"/>
      <c r="Q42" s="1477" t="str">
        <f t="shared" si="14"/>
        <v>临街宽度及深度</v>
      </c>
      <c r="R42" s="1478" t="s">
        <v>8</v>
      </c>
      <c r="S42" s="1479">
        <f t="shared" si="10"/>
        <v>100</v>
      </c>
      <c r="T42" s="1478" t="s">
        <v>8</v>
      </c>
      <c r="U42" s="1479">
        <f t="shared" si="11"/>
        <v>100</v>
      </c>
      <c r="V42" s="1478" t="s">
        <v>8</v>
      </c>
      <c r="W42" s="1479">
        <f t="shared" si="12"/>
        <v>100</v>
      </c>
      <c r="X42" s="1473"/>
      <c r="Y42" s="3203"/>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203"/>
      <c r="Q43" s="1477" t="str">
        <f t="shared" si="14"/>
        <v>宗地开发程度</v>
      </c>
      <c r="R43" s="1474" t="s">
        <v>8</v>
      </c>
      <c r="S43" s="1475">
        <f t="shared" si="10"/>
        <v>100</v>
      </c>
      <c r="T43" s="1474" t="s">
        <v>8</v>
      </c>
      <c r="U43" s="1475">
        <f t="shared" si="11"/>
        <v>100</v>
      </c>
      <c r="V43" s="1474" t="s">
        <v>8</v>
      </c>
      <c r="W43" s="1475">
        <f t="shared" si="12"/>
        <v>100</v>
      </c>
      <c r="X43" s="1476"/>
      <c r="Y43" s="3203"/>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203" t="s">
        <v>550</v>
      </c>
      <c r="Q44" s="1477" t="str">
        <f t="shared" si="14"/>
        <v>工程地质条件</v>
      </c>
      <c r="R44" s="1478" t="s">
        <v>8</v>
      </c>
      <c r="S44" s="1479">
        <f t="shared" si="10"/>
        <v>100</v>
      </c>
      <c r="T44" s="1478" t="s">
        <v>8</v>
      </c>
      <c r="U44" s="1479">
        <f t="shared" si="11"/>
        <v>100</v>
      </c>
      <c r="V44" s="1478" t="s">
        <v>8</v>
      </c>
      <c r="W44" s="1479">
        <f t="shared" si="12"/>
        <v>100</v>
      </c>
      <c r="X44" s="1473"/>
      <c r="Y44" s="3203"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203"/>
      <c r="Q45" s="1477">
        <f t="shared" si="14"/>
        <v>111</v>
      </c>
      <c r="R45" s="1478" t="s">
        <v>8</v>
      </c>
      <c r="S45" s="1479">
        <f t="shared" si="10"/>
        <v>100</v>
      </c>
      <c r="T45" s="1478" t="s">
        <v>8</v>
      </c>
      <c r="U45" s="1479">
        <f t="shared" si="11"/>
        <v>100</v>
      </c>
      <c r="V45" s="1478" t="s">
        <v>8</v>
      </c>
      <c r="W45" s="1479">
        <f t="shared" si="12"/>
        <v>100</v>
      </c>
      <c r="X45" s="1473"/>
      <c r="Y45" s="3203"/>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203"/>
      <c r="Q46" s="1477">
        <f t="shared" si="14"/>
        <v>111</v>
      </c>
      <c r="R46" s="1478" t="s">
        <v>8</v>
      </c>
      <c r="S46" s="1479">
        <f t="shared" si="10"/>
        <v>100</v>
      </c>
      <c r="T46" s="1478" t="s">
        <v>8</v>
      </c>
      <c r="U46" s="1479">
        <f t="shared" si="11"/>
        <v>100</v>
      </c>
      <c r="V46" s="1478" t="s">
        <v>8</v>
      </c>
      <c r="W46" s="1479">
        <f t="shared" si="12"/>
        <v>100</v>
      </c>
      <c r="X46" s="1473"/>
      <c r="Y46" s="3203"/>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203"/>
      <c r="Q47" s="1477">
        <f t="shared" si="14"/>
        <v>111</v>
      </c>
      <c r="R47" s="1481" t="s">
        <v>8</v>
      </c>
      <c r="S47" s="1482">
        <f t="shared" si="10"/>
        <v>100</v>
      </c>
      <c r="T47" s="1481" t="s">
        <v>8</v>
      </c>
      <c r="U47" s="1482">
        <f t="shared" si="11"/>
        <v>100</v>
      </c>
      <c r="V47" s="1481" t="s">
        <v>8</v>
      </c>
      <c r="W47" s="1482">
        <f t="shared" si="12"/>
        <v>100</v>
      </c>
      <c r="X47" s="1483"/>
      <c r="Y47" s="3203"/>
      <c r="Z47" s="1484">
        <f t="shared" si="13"/>
        <v>111</v>
      </c>
      <c r="AA47" s="1480">
        <f t="shared" si="3"/>
        <v>1</v>
      </c>
      <c r="AB47" s="1480">
        <f t="shared" si="4"/>
        <v>1</v>
      </c>
      <c r="AC47" s="1480">
        <f t="shared" si="5"/>
        <v>1</v>
      </c>
    </row>
    <row r="48" spans="1:29" ht="20.25">
      <c r="A48" s="583" t="s">
        <v>556</v>
      </c>
      <c r="B48" s="584" t="s">
        <v>2932</v>
      </c>
      <c r="C48" s="585" t="s">
        <v>1</v>
      </c>
      <c r="D48" s="586"/>
      <c r="E48" s="587"/>
      <c r="F48" s="588"/>
      <c r="G48" s="589"/>
      <c r="H48" s="590"/>
      <c r="I48" s="587"/>
      <c r="J48" s="590"/>
      <c r="K48" s="1267"/>
      <c r="L48" s="1995"/>
      <c r="M48" s="1984"/>
      <c r="N48" s="1984"/>
      <c r="O48" s="1986"/>
      <c r="P48" s="3166" t="str">
        <f>A48</f>
        <v>成交单价</v>
      </c>
      <c r="Q48" s="3166"/>
      <c r="R48" s="3167">
        <f>E48</f>
        <v>0</v>
      </c>
      <c r="S48" s="3167"/>
      <c r="T48" s="3167">
        <f>G48</f>
        <v>0</v>
      </c>
      <c r="U48" s="3167"/>
      <c r="V48" s="3167">
        <f>I48</f>
        <v>0</v>
      </c>
      <c r="W48" s="3167"/>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66" t="str">
        <f>A49</f>
        <v>比较价格（元/平方米）</v>
      </c>
      <c r="Q49" s="3166"/>
      <c r="R49" s="3168" t="e">
        <f>ROUND(PRODUCT(R48,AA9:AA47),0)</f>
        <v>#DIV/0!</v>
      </c>
      <c r="S49" s="3168"/>
      <c r="T49" s="3168" t="e">
        <f>ROUND(PRODUCT(T48,AB9:AB47),0)</f>
        <v>#DIV/0!</v>
      </c>
      <c r="U49" s="3168"/>
      <c r="V49" s="3168" t="e">
        <f>ROUND(PRODUCT(V48,AC9:AC47),0)</f>
        <v>#DIV/0!</v>
      </c>
      <c r="W49" s="3168"/>
      <c r="X49" s="833"/>
      <c r="Y49" s="833"/>
      <c r="Z49" s="833"/>
      <c r="AA49" s="833"/>
      <c r="AB49" s="833"/>
      <c r="AC49" s="833"/>
    </row>
    <row r="50" spans="1:29" ht="21" thickBot="1">
      <c r="A50" s="597" t="s">
        <v>2933</v>
      </c>
      <c r="B50" s="598"/>
      <c r="C50" s="599" t="e">
        <f>R50</f>
        <v>#DIV/0!</v>
      </c>
      <c r="D50" s="599"/>
      <c r="E50" s="599"/>
      <c r="F50" s="599"/>
      <c r="G50" s="599"/>
      <c r="H50" s="599"/>
      <c r="I50" s="599"/>
      <c r="J50" s="599"/>
      <c r="K50" s="1269"/>
      <c r="L50" s="1995"/>
      <c r="M50" s="1984"/>
      <c r="N50" s="1984"/>
      <c r="O50" s="1986"/>
      <c r="P50" s="3163" t="str">
        <f>A50</f>
        <v>估价对象XX用房的比较价格（楼面单价，元/平方米）</v>
      </c>
      <c r="Q50" s="3164"/>
      <c r="R50" s="3165" t="e">
        <f>ROUND(AVERAGE(R49:V49),0)</f>
        <v>#DIV/0!</v>
      </c>
      <c r="S50" s="3165"/>
      <c r="T50" s="3165"/>
      <c r="U50" s="3165"/>
      <c r="V50" s="3165"/>
      <c r="W50" s="3165"/>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92" t="s">
        <v>2281</v>
      </c>
      <c r="H57" s="3193"/>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94"/>
      <c r="H58" s="3195"/>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96"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96"/>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96"/>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96"/>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2024-2-1</v>
      </c>
      <c r="D70" s="2548">
        <f>EDATE(C70,-3)</f>
        <v>45231</v>
      </c>
      <c r="E70" s="2548">
        <f t="shared" ref="E70:N70" si="18">EDATE(D70,-3)</f>
        <v>45139</v>
      </c>
      <c r="F70" s="2548">
        <f t="shared" si="18"/>
        <v>45047</v>
      </c>
      <c r="G70" s="2548">
        <f t="shared" si="18"/>
        <v>44958</v>
      </c>
      <c r="H70" s="2548">
        <f t="shared" si="18"/>
        <v>44866</v>
      </c>
      <c r="I70" s="2548">
        <f t="shared" si="18"/>
        <v>44774</v>
      </c>
      <c r="J70" s="2548">
        <f t="shared" si="18"/>
        <v>44682</v>
      </c>
      <c r="K70" s="2548">
        <f t="shared" si="18"/>
        <v>44593</v>
      </c>
      <c r="L70" s="2548">
        <f t="shared" si="18"/>
        <v>44501</v>
      </c>
      <c r="M70" s="2548">
        <f t="shared" si="18"/>
        <v>44409</v>
      </c>
      <c r="N70" s="2548">
        <f t="shared" si="18"/>
        <v>44317</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2024-1</v>
      </c>
      <c r="D72" s="162" t="str">
        <f>YEAR(D70)&amp;"-"&amp;ROUNDUP(MONTH(D70)/3,0)</f>
        <v>2023-4</v>
      </c>
      <c r="E72" s="162" t="str">
        <f t="shared" ref="E72:N72" si="19">YEAR(E70)&amp;"-"&amp;ROUNDUP(MONTH(E70)/3,0)</f>
        <v>2023-3</v>
      </c>
      <c r="F72" s="162" t="str">
        <f t="shared" si="19"/>
        <v>2023-2</v>
      </c>
      <c r="G72" s="162" t="str">
        <f t="shared" si="19"/>
        <v>2023-1</v>
      </c>
      <c r="H72" s="162" t="str">
        <f t="shared" si="19"/>
        <v>2022-4</v>
      </c>
      <c r="I72" s="162" t="str">
        <f t="shared" si="19"/>
        <v>2022-3</v>
      </c>
      <c r="J72" s="162" t="str">
        <f t="shared" si="19"/>
        <v>2022-2</v>
      </c>
      <c r="K72" s="162" t="str">
        <f t="shared" si="19"/>
        <v>2022-1</v>
      </c>
      <c r="L72" s="162" t="str">
        <f t="shared" si="19"/>
        <v>2021-4</v>
      </c>
      <c r="M72" s="162" t="str">
        <f t="shared" si="19"/>
        <v>2021-3</v>
      </c>
      <c r="N72" s="162" t="str">
        <f t="shared" si="19"/>
        <v>2021-2</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72" t="s">
        <v>522</v>
      </c>
      <c r="D6" s="3173"/>
      <c r="E6" s="3206" t="s">
        <v>523</v>
      </c>
      <c r="F6" s="3207"/>
      <c r="G6" s="3172" t="s">
        <v>524</v>
      </c>
      <c r="H6" s="3173"/>
      <c r="I6" s="3172" t="s">
        <v>525</v>
      </c>
      <c r="J6" s="3173"/>
      <c r="K6" s="492" t="s">
        <v>526</v>
      </c>
      <c r="L6" s="1985"/>
      <c r="M6" s="1986"/>
      <c r="N6" s="1986"/>
      <c r="O6" s="1986"/>
      <c r="P6" s="3174" t="s">
        <v>527</v>
      </c>
      <c r="Q6" s="3175"/>
      <c r="R6" s="3180" t="s">
        <v>523</v>
      </c>
      <c r="S6" s="3181"/>
      <c r="T6" s="3180" t="s">
        <v>524</v>
      </c>
      <c r="U6" s="3181"/>
      <c r="V6" s="3167" t="s">
        <v>525</v>
      </c>
      <c r="W6" s="3167"/>
      <c r="X6" s="1473"/>
      <c r="Y6" s="3180" t="s">
        <v>527</v>
      </c>
      <c r="Z6" s="3181"/>
      <c r="AA6" s="3169" t="s">
        <v>523</v>
      </c>
      <c r="AB6" s="3170" t="s">
        <v>524</v>
      </c>
      <c r="AC6" s="3169" t="s">
        <v>525</v>
      </c>
    </row>
    <row r="7" spans="1:29" ht="15">
      <c r="A7" s="493"/>
      <c r="B7" s="494"/>
      <c r="C7" s="3188" t="s">
        <v>2927</v>
      </c>
      <c r="D7" s="3189"/>
      <c r="E7" s="3208" t="s">
        <v>2928</v>
      </c>
      <c r="F7" s="3209"/>
      <c r="G7" s="3188" t="s">
        <v>2929</v>
      </c>
      <c r="H7" s="3189"/>
      <c r="I7" s="3188" t="s">
        <v>2930</v>
      </c>
      <c r="J7" s="3189"/>
      <c r="K7" s="492"/>
      <c r="L7" s="1985"/>
      <c r="M7" s="1986"/>
      <c r="N7" s="1986"/>
      <c r="O7" s="1986"/>
      <c r="P7" s="3176"/>
      <c r="Q7" s="3177"/>
      <c r="R7" s="3182"/>
      <c r="S7" s="3183"/>
      <c r="T7" s="3182"/>
      <c r="U7" s="3183"/>
      <c r="V7" s="3167"/>
      <c r="W7" s="3167"/>
      <c r="X7" s="1473"/>
      <c r="Y7" s="3182"/>
      <c r="Z7" s="3183"/>
      <c r="AA7" s="3170"/>
      <c r="AB7" s="3170"/>
      <c r="AC7" s="3170"/>
    </row>
    <row r="8" spans="1:29" ht="15.75" thickBot="1">
      <c r="A8" s="495"/>
      <c r="B8" s="496"/>
      <c r="C8" s="3186" t="s">
        <v>2931</v>
      </c>
      <c r="D8" s="3187"/>
      <c r="E8" s="3204" t="s">
        <v>2931</v>
      </c>
      <c r="F8" s="3205"/>
      <c r="G8" s="3186" t="s">
        <v>2931</v>
      </c>
      <c r="H8" s="3187"/>
      <c r="I8" s="3186" t="s">
        <v>2931</v>
      </c>
      <c r="J8" s="3187"/>
      <c r="K8" s="492" t="s">
        <v>528</v>
      </c>
      <c r="L8" s="1985"/>
      <c r="M8" s="1986"/>
      <c r="N8" s="1986"/>
      <c r="O8" s="1986"/>
      <c r="P8" s="3178"/>
      <c r="Q8" s="3179"/>
      <c r="R8" s="3182"/>
      <c r="S8" s="3183"/>
      <c r="T8" s="3184"/>
      <c r="U8" s="3185"/>
      <c r="V8" s="3167"/>
      <c r="W8" s="3167"/>
      <c r="X8" s="1473"/>
      <c r="Y8" s="3184"/>
      <c r="Z8" s="3185"/>
      <c r="AA8" s="3171"/>
      <c r="AB8" s="3171"/>
      <c r="AC8" s="3171"/>
    </row>
    <row r="9" spans="1:29" s="1155" customFormat="1" ht="15.75" thickBot="1">
      <c r="A9" s="2646"/>
      <c r="B9" s="2653" t="s">
        <v>529</v>
      </c>
      <c r="C9" s="497">
        <f>'数据-取费表'!B2</f>
        <v>45344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97" t="s">
        <v>530</v>
      </c>
      <c r="Q9" s="3199"/>
      <c r="R9" s="1474" t="s">
        <v>8</v>
      </c>
      <c r="S9" s="1475">
        <f t="shared" ref="S9:S17" si="0">F9</f>
        <v>0</v>
      </c>
      <c r="T9" s="1474" t="s">
        <v>8</v>
      </c>
      <c r="U9" s="1475">
        <f t="shared" ref="U9:U17" si="1">H9</f>
        <v>0</v>
      </c>
      <c r="V9" s="1474" t="s">
        <v>8</v>
      </c>
      <c r="W9" s="1475">
        <f t="shared" ref="W9:W17" si="2">J9</f>
        <v>0</v>
      </c>
      <c r="X9" s="1476"/>
      <c r="Y9" s="3197" t="s">
        <v>530</v>
      </c>
      <c r="Z9" s="3198"/>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97" t="s">
        <v>533</v>
      </c>
      <c r="Q10" s="3198"/>
      <c r="R10" s="1474" t="s">
        <v>8</v>
      </c>
      <c r="S10" s="1475">
        <f t="shared" si="0"/>
        <v>0</v>
      </c>
      <c r="T10" s="1474" t="s">
        <v>8</v>
      </c>
      <c r="U10" s="1475">
        <f t="shared" si="1"/>
        <v>0</v>
      </c>
      <c r="V10" s="1474" t="s">
        <v>8</v>
      </c>
      <c r="W10" s="1475">
        <f t="shared" si="2"/>
        <v>0</v>
      </c>
      <c r="X10" s="1476"/>
      <c r="Y10" s="3197" t="s">
        <v>533</v>
      </c>
      <c r="Z10" s="3198"/>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66" t="s">
        <v>535</v>
      </c>
      <c r="Q11" s="852" t="str">
        <f t="shared" ref="Q11:Q17" si="6">B11</f>
        <v>用途</v>
      </c>
      <c r="R11" s="1474" t="s">
        <v>8</v>
      </c>
      <c r="S11" s="1475">
        <f t="shared" si="0"/>
        <v>100</v>
      </c>
      <c r="T11" s="1474" t="s">
        <v>8</v>
      </c>
      <c r="U11" s="1475">
        <f t="shared" si="1"/>
        <v>100</v>
      </c>
      <c r="V11" s="1474" t="s">
        <v>8</v>
      </c>
      <c r="W11" s="1475">
        <f t="shared" si="2"/>
        <v>100</v>
      </c>
      <c r="X11" s="1476"/>
      <c r="Y11" s="3112"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66"/>
      <c r="Q12" s="852" t="str">
        <f t="shared" si="6"/>
        <v>土地使用年限（年）</v>
      </c>
      <c r="R12" s="1474" t="s">
        <v>8</v>
      </c>
      <c r="S12" s="1475" t="e">
        <f t="shared" si="0"/>
        <v>#DIV/0!</v>
      </c>
      <c r="T12" s="1474" t="s">
        <v>8</v>
      </c>
      <c r="U12" s="1475" t="e">
        <f t="shared" si="1"/>
        <v>#DIV/0!</v>
      </c>
      <c r="V12" s="1474" t="s">
        <v>8</v>
      </c>
      <c r="W12" s="1475" t="e">
        <f t="shared" si="2"/>
        <v>#DIV/0!</v>
      </c>
      <c r="X12" s="1476"/>
      <c r="Y12" s="3112"/>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66"/>
      <c r="Q13" s="852" t="str">
        <f t="shared" si="6"/>
        <v>容积率</v>
      </c>
      <c r="R13" s="1474" t="s">
        <v>8</v>
      </c>
      <c r="S13" s="1475" t="e">
        <f t="shared" si="0"/>
        <v>#N/A</v>
      </c>
      <c r="T13" s="1474" t="s">
        <v>8</v>
      </c>
      <c r="U13" s="1475" t="e">
        <f t="shared" si="1"/>
        <v>#N/A</v>
      </c>
      <c r="V13" s="1474" t="s">
        <v>8</v>
      </c>
      <c r="W13" s="1475" t="e">
        <f t="shared" si="2"/>
        <v>#N/A</v>
      </c>
      <c r="X13" s="1476"/>
      <c r="Y13" s="3112"/>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66"/>
      <c r="Q14" s="852">
        <f t="shared" si="6"/>
        <v>111</v>
      </c>
      <c r="R14" s="1474" t="s">
        <v>8</v>
      </c>
      <c r="S14" s="1475">
        <f t="shared" si="0"/>
        <v>100</v>
      </c>
      <c r="T14" s="1474" t="s">
        <v>8</v>
      </c>
      <c r="U14" s="1475">
        <f t="shared" si="1"/>
        <v>100</v>
      </c>
      <c r="V14" s="1474" t="s">
        <v>8</v>
      </c>
      <c r="W14" s="1475">
        <f t="shared" si="2"/>
        <v>100</v>
      </c>
      <c r="X14" s="1476"/>
      <c r="Y14" s="3112"/>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66"/>
      <c r="Q15" s="852">
        <f t="shared" si="6"/>
        <v>111</v>
      </c>
      <c r="R15" s="1474" t="s">
        <v>8</v>
      </c>
      <c r="S15" s="1475">
        <f t="shared" si="0"/>
        <v>100</v>
      </c>
      <c r="T15" s="1474" t="s">
        <v>8</v>
      </c>
      <c r="U15" s="1475">
        <f t="shared" si="1"/>
        <v>100</v>
      </c>
      <c r="V15" s="1474" t="s">
        <v>8</v>
      </c>
      <c r="W15" s="1475">
        <f t="shared" si="2"/>
        <v>100</v>
      </c>
      <c r="X15" s="1476"/>
      <c r="Y15" s="3112"/>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66"/>
      <c r="Q16" s="852">
        <f t="shared" si="6"/>
        <v>111</v>
      </c>
      <c r="R16" s="1474" t="s">
        <v>8</v>
      </c>
      <c r="S16" s="1475">
        <f t="shared" si="0"/>
        <v>100</v>
      </c>
      <c r="T16" s="1474" t="s">
        <v>8</v>
      </c>
      <c r="U16" s="1475">
        <f t="shared" si="1"/>
        <v>100</v>
      </c>
      <c r="V16" s="1474" t="s">
        <v>8</v>
      </c>
      <c r="W16" s="1475">
        <f t="shared" si="2"/>
        <v>100</v>
      </c>
      <c r="X16" s="1476"/>
      <c r="Y16" s="3112"/>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200" t="s">
        <v>540</v>
      </c>
      <c r="Q17" s="1477" t="str">
        <f t="shared" si="6"/>
        <v>产业集聚程度</v>
      </c>
      <c r="R17" s="1478" t="s">
        <v>8</v>
      </c>
      <c r="S17" s="1479">
        <f t="shared" si="0"/>
        <v>100</v>
      </c>
      <c r="T17" s="1478" t="s">
        <v>8</v>
      </c>
      <c r="U17" s="1479">
        <f t="shared" si="1"/>
        <v>100</v>
      </c>
      <c r="V17" s="1478" t="s">
        <v>8</v>
      </c>
      <c r="W17" s="1479">
        <f t="shared" si="2"/>
        <v>100</v>
      </c>
      <c r="X17" s="1473"/>
      <c r="Y17" s="3200"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201"/>
      <c r="Q18" s="1477"/>
      <c r="R18" s="1478"/>
      <c r="S18" s="1479"/>
      <c r="T18" s="1478"/>
      <c r="U18" s="1479"/>
      <c r="V18" s="1478"/>
      <c r="W18" s="1479"/>
      <c r="X18" s="1473"/>
      <c r="Y18" s="3201"/>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201"/>
      <c r="Q19" s="1477" t="str">
        <f>B19</f>
        <v>交通便捷度</v>
      </c>
      <c r="R19" s="1478" t="s">
        <v>8</v>
      </c>
      <c r="S19" s="1479">
        <f>F19</f>
        <v>100</v>
      </c>
      <c r="T19" s="1478" t="s">
        <v>8</v>
      </c>
      <c r="U19" s="1479">
        <f>H19</f>
        <v>100</v>
      </c>
      <c r="V19" s="1478" t="s">
        <v>8</v>
      </c>
      <c r="W19" s="1479">
        <f>J19</f>
        <v>100</v>
      </c>
      <c r="X19" s="1473"/>
      <c r="Y19" s="3201"/>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201"/>
      <c r="Q20" s="1477"/>
      <c r="R20" s="1478"/>
      <c r="S20" s="1479"/>
      <c r="T20" s="1478"/>
      <c r="U20" s="1479"/>
      <c r="V20" s="1478"/>
      <c r="W20" s="1479"/>
      <c r="X20" s="1473"/>
      <c r="Y20" s="3201"/>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201"/>
      <c r="Q21" s="1477" t="str">
        <f t="shared" ref="Q21:Q35" si="8">B21</f>
        <v>区域土地利用方向</v>
      </c>
      <c r="R21" s="1478" t="s">
        <v>8</v>
      </c>
      <c r="S21" s="1479">
        <f>F21</f>
        <v>100</v>
      </c>
      <c r="T21" s="1478" t="s">
        <v>8</v>
      </c>
      <c r="U21" s="1479">
        <f>H21</f>
        <v>100</v>
      </c>
      <c r="V21" s="1478" t="s">
        <v>8</v>
      </c>
      <c r="W21" s="1479">
        <f>J21</f>
        <v>100</v>
      </c>
      <c r="X21" s="1473"/>
      <c r="Y21" s="3201"/>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201"/>
      <c r="Q22" s="1477"/>
      <c r="R22" s="1478"/>
      <c r="S22" s="1479"/>
      <c r="T22" s="1478"/>
      <c r="U22" s="1479"/>
      <c r="V22" s="1478"/>
      <c r="W22" s="1479"/>
      <c r="X22" s="1473"/>
      <c r="Y22" s="3201"/>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201"/>
      <c r="Q23" s="1477" t="str">
        <f t="shared" si="8"/>
        <v>环境状况</v>
      </c>
      <c r="R23" s="1478" t="s">
        <v>8</v>
      </c>
      <c r="S23" s="1479">
        <f>F23</f>
        <v>100</v>
      </c>
      <c r="T23" s="1478" t="s">
        <v>8</v>
      </c>
      <c r="U23" s="1479">
        <f>H23</f>
        <v>100</v>
      </c>
      <c r="V23" s="1478" t="s">
        <v>8</v>
      </c>
      <c r="W23" s="1479">
        <f>J23</f>
        <v>100</v>
      </c>
      <c r="X23" s="1473"/>
      <c r="Y23" s="3201"/>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201"/>
      <c r="Q24" s="1477"/>
      <c r="R24" s="1478"/>
      <c r="S24" s="1479"/>
      <c r="T24" s="1478"/>
      <c r="U24" s="1479"/>
      <c r="V24" s="1478"/>
      <c r="W24" s="1479"/>
      <c r="X24" s="1473"/>
      <c r="Y24" s="3201"/>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201"/>
      <c r="Q25" s="852" t="str">
        <f t="shared" si="8"/>
        <v>公共配套设施</v>
      </c>
      <c r="R25" s="1474" t="s">
        <v>8</v>
      </c>
      <c r="S25" s="1475">
        <f>F25</f>
        <v>100</v>
      </c>
      <c r="T25" s="1474" t="s">
        <v>8</v>
      </c>
      <c r="U25" s="1475">
        <f>H25</f>
        <v>100</v>
      </c>
      <c r="V25" s="1474" t="s">
        <v>8</v>
      </c>
      <c r="W25" s="1475">
        <f>J25</f>
        <v>100</v>
      </c>
      <c r="X25" s="1476"/>
      <c r="Y25" s="3201"/>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201"/>
      <c r="Q26" s="852"/>
      <c r="R26" s="1474"/>
      <c r="S26" s="1475"/>
      <c r="T26" s="1474"/>
      <c r="U26" s="1475"/>
      <c r="V26" s="1474"/>
      <c r="W26" s="1475"/>
      <c r="X26" s="1476"/>
      <c r="Y26" s="3201"/>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201"/>
      <c r="Q27" s="852" t="str">
        <f t="shared" ref="Q27" si="9">B27</f>
        <v>基础设施水平</v>
      </c>
      <c r="R27" s="1474" t="s">
        <v>8</v>
      </c>
      <c r="S27" s="1475">
        <f>F27</f>
        <v>100</v>
      </c>
      <c r="T27" s="1474" t="s">
        <v>8</v>
      </c>
      <c r="U27" s="1475">
        <f>H27</f>
        <v>100</v>
      </c>
      <c r="V27" s="1474" t="s">
        <v>8</v>
      </c>
      <c r="W27" s="1475">
        <f>J27</f>
        <v>100</v>
      </c>
      <c r="X27" s="1476"/>
      <c r="Y27" s="3201"/>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201"/>
      <c r="Q28" s="852"/>
      <c r="R28" s="1474"/>
      <c r="S28" s="1475"/>
      <c r="T28" s="1474"/>
      <c r="U28" s="1475"/>
      <c r="V28" s="1474"/>
      <c r="W28" s="1475"/>
      <c r="X28" s="1476"/>
      <c r="Y28" s="3201"/>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201"/>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201"/>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201"/>
      <c r="Q30" s="1477" t="str">
        <f t="shared" si="8"/>
        <v>毗邻道路的类型与等级</v>
      </c>
      <c r="R30" s="1478" t="s">
        <v>8</v>
      </c>
      <c r="S30" s="1479">
        <f t="shared" si="10"/>
        <v>100</v>
      </c>
      <c r="T30" s="1478" t="s">
        <v>8</v>
      </c>
      <c r="U30" s="1479">
        <f t="shared" si="11"/>
        <v>100</v>
      </c>
      <c r="V30" s="1478" t="s">
        <v>8</v>
      </c>
      <c r="W30" s="1479">
        <f t="shared" si="12"/>
        <v>100</v>
      </c>
      <c r="X30" s="1473"/>
      <c r="Y30" s="3201"/>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201"/>
      <c r="Q31" s="1477"/>
      <c r="R31" s="1478"/>
      <c r="S31" s="1479"/>
      <c r="T31" s="1478"/>
      <c r="U31" s="1479"/>
      <c r="V31" s="1478"/>
      <c r="W31" s="1479"/>
      <c r="X31" s="1473"/>
      <c r="Y31" s="3201"/>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201"/>
      <c r="Q32" s="1477" t="str">
        <f t="shared" si="8"/>
        <v>土地级别</v>
      </c>
      <c r="R32" s="1478" t="s">
        <v>8</v>
      </c>
      <c r="S32" s="1479">
        <f t="shared" si="10"/>
        <v>100</v>
      </c>
      <c r="T32" s="1478" t="s">
        <v>8</v>
      </c>
      <c r="U32" s="1479">
        <f t="shared" si="11"/>
        <v>100</v>
      </c>
      <c r="V32" s="1478" t="s">
        <v>8</v>
      </c>
      <c r="W32" s="1479">
        <f t="shared" si="12"/>
        <v>100</v>
      </c>
      <c r="X32" s="1473"/>
      <c r="Y32" s="3201"/>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201"/>
      <c r="Q33" s="1477">
        <f t="shared" si="8"/>
        <v>111</v>
      </c>
      <c r="R33" s="1478" t="s">
        <v>8</v>
      </c>
      <c r="S33" s="1479">
        <f t="shared" si="10"/>
        <v>100</v>
      </c>
      <c r="T33" s="1478" t="s">
        <v>8</v>
      </c>
      <c r="U33" s="1479">
        <f t="shared" si="11"/>
        <v>100</v>
      </c>
      <c r="V33" s="1478" t="s">
        <v>8</v>
      </c>
      <c r="W33" s="1479">
        <f t="shared" si="12"/>
        <v>100</v>
      </c>
      <c r="X33" s="1473"/>
      <c r="Y33" s="3201"/>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202" t="s">
        <v>550</v>
      </c>
      <c r="Q34" s="1477">
        <f t="shared" si="8"/>
        <v>111</v>
      </c>
      <c r="R34" s="1478" t="s">
        <v>8</v>
      </c>
      <c r="S34" s="1479">
        <f t="shared" si="10"/>
        <v>100</v>
      </c>
      <c r="T34" s="1478" t="s">
        <v>8</v>
      </c>
      <c r="U34" s="1479">
        <f t="shared" si="11"/>
        <v>100</v>
      </c>
      <c r="V34" s="1478" t="s">
        <v>8</v>
      </c>
      <c r="W34" s="1479">
        <f t="shared" si="12"/>
        <v>100</v>
      </c>
      <c r="X34" s="1473"/>
      <c r="Y34" s="3203"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203"/>
      <c r="Q35" s="1477">
        <f t="shared" si="8"/>
        <v>111</v>
      </c>
      <c r="R35" s="1481" t="s">
        <v>8</v>
      </c>
      <c r="S35" s="1482">
        <f t="shared" si="10"/>
        <v>100</v>
      </c>
      <c r="T35" s="1481" t="s">
        <v>8</v>
      </c>
      <c r="U35" s="1482">
        <f t="shared" si="11"/>
        <v>100</v>
      </c>
      <c r="V35" s="1481" t="s">
        <v>8</v>
      </c>
      <c r="W35" s="1482">
        <f t="shared" si="12"/>
        <v>100</v>
      </c>
      <c r="X35" s="1483"/>
      <c r="Y35" s="3203"/>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203"/>
      <c r="Q36" s="1477" t="str">
        <f>B36</f>
        <v>宗地面积</v>
      </c>
      <c r="R36" s="1478" t="s">
        <v>8</v>
      </c>
      <c r="S36" s="1479" t="e">
        <f t="shared" si="10"/>
        <v>#N/A</v>
      </c>
      <c r="T36" s="1478" t="s">
        <v>8</v>
      </c>
      <c r="U36" s="1479" t="e">
        <f t="shared" si="11"/>
        <v>#N/A</v>
      </c>
      <c r="V36" s="1478" t="s">
        <v>8</v>
      </c>
      <c r="W36" s="1479" t="e">
        <f t="shared" si="12"/>
        <v>#N/A</v>
      </c>
      <c r="X36" s="1473"/>
      <c r="Y36" s="3203"/>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203"/>
      <c r="Q37" s="1477" t="str">
        <f t="shared" ref="Q37:Q42" si="14">B37</f>
        <v>宗地形状</v>
      </c>
      <c r="R37" s="1478" t="s">
        <v>8</v>
      </c>
      <c r="S37" s="1479">
        <f t="shared" si="10"/>
        <v>100</v>
      </c>
      <c r="T37" s="1478" t="s">
        <v>8</v>
      </c>
      <c r="U37" s="1479">
        <f t="shared" si="11"/>
        <v>100</v>
      </c>
      <c r="V37" s="1478" t="s">
        <v>8</v>
      </c>
      <c r="W37" s="1479">
        <f t="shared" si="12"/>
        <v>100</v>
      </c>
      <c r="X37" s="1473"/>
      <c r="Y37" s="3203"/>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203"/>
      <c r="Q38" s="1477" t="str">
        <f t="shared" si="14"/>
        <v>宗地开发程度</v>
      </c>
      <c r="R38" s="1474" t="s">
        <v>8</v>
      </c>
      <c r="S38" s="1475">
        <f t="shared" si="10"/>
        <v>100</v>
      </c>
      <c r="T38" s="1474" t="s">
        <v>8</v>
      </c>
      <c r="U38" s="1475">
        <f t="shared" si="11"/>
        <v>100</v>
      </c>
      <c r="V38" s="1474" t="s">
        <v>8</v>
      </c>
      <c r="W38" s="1475">
        <f t="shared" si="12"/>
        <v>100</v>
      </c>
      <c r="X38" s="1476"/>
      <c r="Y38" s="3203"/>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03" t="s">
        <v>601</v>
      </c>
      <c r="Q39" s="1477" t="str">
        <f t="shared" si="14"/>
        <v>工程地质条件</v>
      </c>
      <c r="R39" s="1478" t="s">
        <v>8</v>
      </c>
      <c r="S39" s="1479">
        <f t="shared" si="10"/>
        <v>100</v>
      </c>
      <c r="T39" s="1478" t="s">
        <v>8</v>
      </c>
      <c r="U39" s="1479">
        <f t="shared" si="11"/>
        <v>100</v>
      </c>
      <c r="V39" s="1478" t="s">
        <v>8</v>
      </c>
      <c r="W39" s="1479">
        <f t="shared" si="12"/>
        <v>100</v>
      </c>
      <c r="X39" s="1473"/>
      <c r="Y39" s="3203"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203"/>
      <c r="Q40" s="1477">
        <f t="shared" si="14"/>
        <v>111</v>
      </c>
      <c r="R40" s="1478" t="s">
        <v>8</v>
      </c>
      <c r="S40" s="1479">
        <f t="shared" si="10"/>
        <v>100</v>
      </c>
      <c r="T40" s="1478" t="s">
        <v>8</v>
      </c>
      <c r="U40" s="1479">
        <f t="shared" si="11"/>
        <v>100</v>
      </c>
      <c r="V40" s="1478" t="s">
        <v>8</v>
      </c>
      <c r="W40" s="1479">
        <f t="shared" si="12"/>
        <v>100</v>
      </c>
      <c r="X40" s="1473"/>
      <c r="Y40" s="3203"/>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203"/>
      <c r="Q41" s="1477">
        <f t="shared" si="14"/>
        <v>111</v>
      </c>
      <c r="R41" s="1478" t="s">
        <v>8</v>
      </c>
      <c r="S41" s="1479">
        <f t="shared" si="10"/>
        <v>100</v>
      </c>
      <c r="T41" s="1478" t="s">
        <v>8</v>
      </c>
      <c r="U41" s="1479">
        <f t="shared" si="11"/>
        <v>100</v>
      </c>
      <c r="V41" s="1478" t="s">
        <v>8</v>
      </c>
      <c r="W41" s="1479">
        <f t="shared" si="12"/>
        <v>100</v>
      </c>
      <c r="X41" s="1473"/>
      <c r="Y41" s="3203"/>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203"/>
      <c r="Q42" s="1477">
        <f t="shared" si="14"/>
        <v>111</v>
      </c>
      <c r="R42" s="1481" t="s">
        <v>8</v>
      </c>
      <c r="S42" s="1482">
        <f t="shared" si="10"/>
        <v>100</v>
      </c>
      <c r="T42" s="1481" t="s">
        <v>8</v>
      </c>
      <c r="U42" s="1482">
        <f t="shared" si="11"/>
        <v>100</v>
      </c>
      <c r="V42" s="1481" t="s">
        <v>8</v>
      </c>
      <c r="W42" s="1482">
        <f t="shared" si="12"/>
        <v>100</v>
      </c>
      <c r="X42" s="1483"/>
      <c r="Y42" s="3203"/>
      <c r="Z42" s="1484">
        <f t="shared" si="13"/>
        <v>111</v>
      </c>
      <c r="AA42" s="1480">
        <f t="shared" si="3"/>
        <v>1</v>
      </c>
      <c r="AB42" s="1480">
        <f t="shared" si="4"/>
        <v>1</v>
      </c>
      <c r="AC42" s="1480">
        <f t="shared" si="5"/>
        <v>1</v>
      </c>
    </row>
    <row r="43" spans="1:29" ht="15">
      <c r="A43" s="583" t="s">
        <v>556</v>
      </c>
      <c r="B43" s="584" t="s">
        <v>2932</v>
      </c>
      <c r="C43" s="585" t="s">
        <v>1</v>
      </c>
      <c r="D43" s="586"/>
      <c r="E43" s="587"/>
      <c r="F43" s="588"/>
      <c r="G43" s="589"/>
      <c r="H43" s="590"/>
      <c r="I43" s="587"/>
      <c r="J43" s="590"/>
      <c r="K43" s="1267"/>
      <c r="L43" s="1995"/>
      <c r="M43" s="1986"/>
      <c r="N43" s="1986"/>
      <c r="O43" s="1986"/>
      <c r="P43" s="3166" t="str">
        <f>A43</f>
        <v>成交单价</v>
      </c>
      <c r="Q43" s="3166"/>
      <c r="R43" s="3167">
        <f>E43</f>
        <v>0</v>
      </c>
      <c r="S43" s="3167"/>
      <c r="T43" s="3167">
        <f>G43</f>
        <v>0</v>
      </c>
      <c r="U43" s="3167"/>
      <c r="V43" s="3167">
        <f>I43</f>
        <v>0</v>
      </c>
      <c r="W43" s="3167"/>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66" t="str">
        <f>A44</f>
        <v>比较价格（元/平方米）</v>
      </c>
      <c r="Q44" s="3166"/>
      <c r="R44" s="3168" t="e">
        <f>ROUND(PRODUCT(R43,AA9:AA42),0)</f>
        <v>#DIV/0!</v>
      </c>
      <c r="S44" s="3168"/>
      <c r="T44" s="3168" t="e">
        <f>ROUND(PRODUCT(T43,AB9:AB42),0)</f>
        <v>#DIV/0!</v>
      </c>
      <c r="U44" s="3168"/>
      <c r="V44" s="3168" t="e">
        <f>ROUND(PRODUCT(V43,AC9:AC42),0)</f>
        <v>#DIV/0!</v>
      </c>
      <c r="W44" s="3168"/>
      <c r="X44" s="833"/>
      <c r="Y44" s="833"/>
      <c r="Z44" s="833"/>
      <c r="AA44" s="833"/>
      <c r="AB44" s="833"/>
      <c r="AC44" s="833"/>
    </row>
    <row r="45" spans="1:29" ht="15.75" thickBot="1">
      <c r="A45" s="597" t="s">
        <v>2933</v>
      </c>
      <c r="B45" s="598"/>
      <c r="C45" s="599" t="e">
        <f>R45</f>
        <v>#DIV/0!</v>
      </c>
      <c r="D45" s="599"/>
      <c r="E45" s="599"/>
      <c r="F45" s="599"/>
      <c r="G45" s="599"/>
      <c r="H45" s="599"/>
      <c r="I45" s="599"/>
      <c r="J45" s="599"/>
      <c r="K45" s="1269"/>
      <c r="L45" s="1995"/>
      <c r="M45" s="1986"/>
      <c r="N45" s="1986"/>
      <c r="O45" s="1986"/>
      <c r="P45" s="3163" t="str">
        <f>A45</f>
        <v>估价对象XX用房的比较价格（楼面单价，元/平方米）</v>
      </c>
      <c r="Q45" s="3164"/>
      <c r="R45" s="3165" t="e">
        <f>ROUND(AVERAGE(R44:V44),0)</f>
        <v>#DIV/0!</v>
      </c>
      <c r="S45" s="3165"/>
      <c r="T45" s="3165"/>
      <c r="U45" s="3165"/>
      <c r="V45" s="3165"/>
      <c r="W45" s="3165"/>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10" t="s">
        <v>2284</v>
      </c>
      <c r="H52" s="3211"/>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12"/>
      <c r="H53" s="3213"/>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14"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14"/>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14"/>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14"/>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2024-2-1</v>
      </c>
      <c r="D65" s="2548">
        <f>EDATE(C65,-3)</f>
        <v>45231</v>
      </c>
      <c r="E65" s="2548">
        <f t="shared" ref="E65:N65" si="18">EDATE(D65,-3)</f>
        <v>45139</v>
      </c>
      <c r="F65" s="2548">
        <f t="shared" si="18"/>
        <v>45047</v>
      </c>
      <c r="G65" s="2548">
        <f t="shared" si="18"/>
        <v>44958</v>
      </c>
      <c r="H65" s="2548">
        <f t="shared" si="18"/>
        <v>44866</v>
      </c>
      <c r="I65" s="2548">
        <f t="shared" si="18"/>
        <v>44774</v>
      </c>
      <c r="J65" s="2548">
        <f t="shared" si="18"/>
        <v>44682</v>
      </c>
      <c r="K65" s="2548">
        <f t="shared" si="18"/>
        <v>44593</v>
      </c>
      <c r="L65" s="2548">
        <f t="shared" si="18"/>
        <v>44501</v>
      </c>
      <c r="M65" s="2548">
        <f t="shared" si="18"/>
        <v>44409</v>
      </c>
      <c r="N65" s="2548">
        <f t="shared" si="18"/>
        <v>44317</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2024-1</v>
      </c>
      <c r="D67" s="162" t="str">
        <f t="shared" ref="D67:N67" si="19">YEAR(D65)&amp;"-"&amp;ROUNDUP(MONTH(D65)/3,0)</f>
        <v>2023-4</v>
      </c>
      <c r="E67" s="162" t="str">
        <f t="shared" si="19"/>
        <v>2023-3</v>
      </c>
      <c r="F67" s="162" t="str">
        <f t="shared" si="19"/>
        <v>2023-2</v>
      </c>
      <c r="G67" s="162" t="str">
        <f t="shared" si="19"/>
        <v>2023-1</v>
      </c>
      <c r="H67" s="162" t="str">
        <f t="shared" si="19"/>
        <v>2022-4</v>
      </c>
      <c r="I67" s="162" t="str">
        <f t="shared" si="19"/>
        <v>2022-3</v>
      </c>
      <c r="J67" s="162" t="str">
        <f t="shared" si="19"/>
        <v>2022-2</v>
      </c>
      <c r="K67" s="162" t="str">
        <f t="shared" si="19"/>
        <v>2022-1</v>
      </c>
      <c r="L67" s="162" t="str">
        <f t="shared" si="19"/>
        <v>2021-4</v>
      </c>
      <c r="M67" s="162" t="str">
        <f t="shared" si="19"/>
        <v>2021-3</v>
      </c>
      <c r="N67" s="162" t="str">
        <f t="shared" si="19"/>
        <v>2021-2</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3155</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26"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27"/>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16" t="s">
        <v>2783</v>
      </c>
      <c r="X8" s="3217"/>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27"/>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15"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27"/>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15"/>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27"/>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15"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26"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15"/>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28"/>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15"/>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28"/>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29"/>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26" t="s">
        <v>1838</v>
      </c>
      <c r="B16" s="1349" t="s">
        <v>950</v>
      </c>
      <c r="C16" s="999" t="e">
        <f>ROUND(IF(F17="与级别开发程度一致",0,(G17-E17)/C17),0)</f>
        <v>#DIV/0!</v>
      </c>
      <c r="D16" s="3223" t="s">
        <v>954</v>
      </c>
      <c r="E16" s="3224"/>
      <c r="F16" s="3223" t="s">
        <v>951</v>
      </c>
      <c r="G16" s="3224"/>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30"/>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45344</v>
      </c>
      <c r="H19" s="1387" t="s">
        <v>3156</v>
      </c>
      <c r="I19" s="2537" t="str">
        <f>IF(H19="季度增幅（自定义）",SUMIF(N21:N24,E2,O21:O24),"")</f>
        <v/>
      </c>
      <c r="J19" s="1383"/>
      <c r="K19" s="1393"/>
      <c r="L19" s="2765" t="s">
        <v>2841</v>
      </c>
      <c r="M19" s="2766">
        <f>ROUND(SUMIF(地价!B2:F2,E2,地价!B27:F27),0)</f>
        <v>230</v>
      </c>
      <c r="N19" s="2539" t="s">
        <v>1676</v>
      </c>
      <c r="O19" s="2538">
        <f>ROUNDDOWN(DATEDIF(E19,G19,"M")/3,0)</f>
        <v>40</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0.70240000000000002</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21.5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33" t="s">
        <v>2958</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34"/>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34"/>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35"/>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2985</v>
      </c>
      <c r="C41" s="805">
        <f ca="1">ROUND(POWER(1+E41,H41-G41)*(POWER(1+E41,G41)-1)/(POWER(1+E41,H41)-1),4)</f>
        <v>0</v>
      </c>
      <c r="D41" s="359" t="s">
        <v>2983</v>
      </c>
      <c r="E41" s="2911">
        <f ca="1">G20</f>
        <v>4.8000000000000001E-2</v>
      </c>
      <c r="F41" s="359" t="s">
        <v>2984</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2935</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2934</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2936</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2934</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2934</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2934</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31" t="s">
        <v>1633</v>
      </c>
      <c r="B90" s="3231"/>
      <c r="C90" s="3231"/>
      <c r="D90" s="3231"/>
      <c r="E90" s="3231"/>
      <c r="F90" s="3231"/>
      <c r="G90" s="3231"/>
      <c r="H90" s="3231"/>
      <c r="I90" s="3231"/>
      <c r="J90" s="3231"/>
      <c r="K90" s="1095"/>
      <c r="L90" s="1095"/>
      <c r="M90" s="1095"/>
      <c r="N90" s="1095"/>
    </row>
    <row r="91" spans="1:40">
      <c r="A91" s="3232" t="s">
        <v>1443</v>
      </c>
      <c r="B91" s="3232" t="s">
        <v>1634</v>
      </c>
      <c r="C91" s="1081" t="s">
        <v>1635</v>
      </c>
      <c r="D91" s="1082"/>
      <c r="E91" s="1082"/>
      <c r="F91" s="1082"/>
      <c r="G91" s="1082"/>
      <c r="H91" s="1082"/>
      <c r="I91" s="1082"/>
      <c r="J91" s="1083"/>
      <c r="K91" s="1076"/>
      <c r="L91" s="1076"/>
      <c r="M91" s="1076"/>
      <c r="N91" s="1076"/>
    </row>
    <row r="92" spans="1:40">
      <c r="A92" s="3232"/>
      <c r="B92" s="3232"/>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18"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19"/>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19"/>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19"/>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19"/>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19"/>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19"/>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20"/>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18"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19"/>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19"/>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19"/>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19"/>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19"/>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19"/>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19"/>
      <c r="B108" s="3221"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20"/>
      <c r="B109" s="3222"/>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25" t="s">
        <v>1639</v>
      </c>
      <c r="B110" s="3225"/>
      <c r="C110" s="3225"/>
      <c r="D110" s="3225"/>
      <c r="E110" s="3225"/>
      <c r="F110" s="3225"/>
      <c r="G110" s="3225"/>
      <c r="H110" s="3225"/>
      <c r="I110" s="3225"/>
      <c r="J110" s="3225"/>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2988</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32" t="s">
        <v>1007</v>
      </c>
      <c r="B18" s="1094" t="s">
        <v>1446</v>
      </c>
      <c r="C18" s="1073" t="s">
        <v>1447</v>
      </c>
      <c r="D18" s="1074"/>
      <c r="E18" s="1094">
        <v>1</v>
      </c>
      <c r="F18" s="1075" t="s">
        <v>1448</v>
      </c>
      <c r="G18" s="1076"/>
    </row>
    <row r="19" spans="1:7" ht="19.5" customHeight="1">
      <c r="A19" s="3232"/>
      <c r="B19" s="3232" t="s">
        <v>1449</v>
      </c>
      <c r="C19" s="1073" t="s">
        <v>1450</v>
      </c>
      <c r="D19" s="1074"/>
      <c r="E19" s="1094">
        <v>0.9</v>
      </c>
      <c r="F19" s="1075" t="s">
        <v>1451</v>
      </c>
      <c r="G19" s="1076"/>
    </row>
    <row r="20" spans="1:7" ht="19.5" customHeight="1">
      <c r="A20" s="3232"/>
      <c r="B20" s="3232"/>
      <c r="C20" s="1073" t="s">
        <v>1452</v>
      </c>
      <c r="D20" s="1074"/>
      <c r="E20" s="1094">
        <v>1.1000000000000001</v>
      </c>
      <c r="F20" s="1075" t="s">
        <v>1453</v>
      </c>
      <c r="G20" s="1076"/>
    </row>
    <row r="21" spans="1:7" ht="19.5" customHeight="1">
      <c r="A21" s="3232"/>
      <c r="B21" s="3232"/>
      <c r="C21" s="1073" t="s">
        <v>1454</v>
      </c>
      <c r="D21" s="1074"/>
      <c r="E21" s="1094">
        <v>0.8</v>
      </c>
      <c r="F21" s="1075" t="s">
        <v>1455</v>
      </c>
      <c r="G21" s="1076"/>
    </row>
    <row r="22" spans="1:7" ht="19.5" customHeight="1">
      <c r="A22" s="3232"/>
      <c r="B22" s="3232"/>
      <c r="C22" s="1073" t="s">
        <v>1456</v>
      </c>
      <c r="D22" s="1074"/>
      <c r="E22" s="1094">
        <v>0.5</v>
      </c>
      <c r="F22" s="1075"/>
      <c r="G22" s="1076"/>
    </row>
    <row r="23" spans="1:7" ht="19.5" customHeight="1">
      <c r="A23" s="3232" t="s">
        <v>1029</v>
      </c>
      <c r="B23" s="1094" t="s">
        <v>1446</v>
      </c>
      <c r="C23" s="1073" t="s">
        <v>1457</v>
      </c>
      <c r="D23" s="1074"/>
      <c r="E23" s="1094">
        <v>1</v>
      </c>
      <c r="F23" s="1075" t="s">
        <v>1458</v>
      </c>
      <c r="G23" s="1076"/>
    </row>
    <row r="24" spans="1:7" ht="19.5" customHeight="1">
      <c r="A24" s="3232"/>
      <c r="B24" s="3232" t="s">
        <v>1449</v>
      </c>
      <c r="C24" s="1073" t="s">
        <v>1459</v>
      </c>
      <c r="D24" s="1074"/>
      <c r="E24" s="1094">
        <v>0.5</v>
      </c>
      <c r="F24" s="1075"/>
      <c r="G24" s="1076"/>
    </row>
    <row r="25" spans="1:7" ht="19.5" customHeight="1">
      <c r="A25" s="3232"/>
      <c r="B25" s="3232"/>
      <c r="C25" s="1073" t="s">
        <v>1460</v>
      </c>
      <c r="D25" s="1074"/>
      <c r="E25" s="1094">
        <v>1.1000000000000001</v>
      </c>
      <c r="F25" s="1075"/>
      <c r="G25" s="1076"/>
    </row>
    <row r="26" spans="1:7" ht="19.5" customHeight="1">
      <c r="A26" s="3232"/>
      <c r="B26" s="3232"/>
      <c r="C26" s="1073" t="s">
        <v>1461</v>
      </c>
      <c r="D26" s="1074"/>
      <c r="E26" s="1094">
        <v>1.1000000000000001</v>
      </c>
      <c r="F26" s="1075"/>
      <c r="G26" s="1076"/>
    </row>
    <row r="27" spans="1:7" ht="19.5" customHeight="1">
      <c r="A27" s="3232"/>
      <c r="B27" s="3232"/>
      <c r="C27" s="1073" t="s">
        <v>1462</v>
      </c>
      <c r="D27" s="1074"/>
      <c r="E27" s="1094">
        <v>0.9</v>
      </c>
      <c r="F27" s="1075" t="s">
        <v>1463</v>
      </c>
      <c r="G27" s="1076"/>
    </row>
    <row r="28" spans="1:7" ht="19.5" customHeight="1">
      <c r="A28" s="3232"/>
      <c r="B28" s="3232"/>
      <c r="C28" s="1073" t="s">
        <v>1464</v>
      </c>
      <c r="D28" s="1074"/>
      <c r="E28" s="1094">
        <v>0.9</v>
      </c>
      <c r="F28" s="1075" t="s">
        <v>1465</v>
      </c>
      <c r="G28" s="1076"/>
    </row>
    <row r="29" spans="1:7" ht="19.5" customHeight="1">
      <c r="A29" s="3232"/>
      <c r="B29" s="3232"/>
      <c r="C29" s="1073" t="s">
        <v>1466</v>
      </c>
      <c r="D29" s="1074"/>
      <c r="E29" s="1094">
        <v>0.9</v>
      </c>
      <c r="F29" s="1075" t="s">
        <v>1467</v>
      </c>
      <c r="G29" s="1076"/>
    </row>
    <row r="30" spans="1:7" ht="19.5" customHeight="1">
      <c r="A30" s="3232"/>
      <c r="B30" s="3232"/>
      <c r="C30" s="1073" t="s">
        <v>1468</v>
      </c>
      <c r="D30" s="1074"/>
      <c r="E30" s="1094">
        <v>0.9</v>
      </c>
      <c r="F30" s="1075" t="s">
        <v>1469</v>
      </c>
      <c r="G30" s="1076"/>
    </row>
    <row r="31" spans="1:7" ht="19.5" customHeight="1">
      <c r="A31" s="3232"/>
      <c r="B31" s="3232"/>
      <c r="C31" s="1073" t="s">
        <v>1470</v>
      </c>
      <c r="D31" s="1074"/>
      <c r="E31" s="1094">
        <v>0.8</v>
      </c>
      <c r="F31" s="1075" t="s">
        <v>1471</v>
      </c>
      <c r="G31" s="1076"/>
    </row>
    <row r="32" spans="1:7" ht="19.5" customHeight="1">
      <c r="A32" s="3232"/>
      <c r="B32" s="3232"/>
      <c r="C32" s="1073" t="s">
        <v>1472</v>
      </c>
      <c r="D32" s="1074"/>
      <c r="E32" s="1094">
        <v>0.8</v>
      </c>
      <c r="F32" s="1075" t="s">
        <v>1473</v>
      </c>
      <c r="G32" s="1076"/>
    </row>
    <row r="33" spans="1:8" ht="19.5" customHeight="1">
      <c r="A33" s="3232" t="s">
        <v>1474</v>
      </c>
      <c r="B33" s="1094" t="s">
        <v>1446</v>
      </c>
      <c r="C33" s="1073" t="s">
        <v>1475</v>
      </c>
      <c r="D33" s="1074"/>
      <c r="E33" s="1094">
        <v>1</v>
      </c>
      <c r="F33" s="1075" t="s">
        <v>1476</v>
      </c>
      <c r="G33" s="1076"/>
    </row>
    <row r="34" spans="1:8" ht="19.5" customHeight="1">
      <c r="A34" s="3232"/>
      <c r="B34" s="1094" t="s">
        <v>1449</v>
      </c>
      <c r="C34" s="1073" t="s">
        <v>1477</v>
      </c>
      <c r="D34" s="1074"/>
      <c r="E34" s="1094">
        <v>1.5</v>
      </c>
      <c r="F34" s="1075" t="s">
        <v>1478</v>
      </c>
      <c r="G34" s="1076"/>
    </row>
    <row r="35" spans="1:8" ht="19.5" customHeight="1">
      <c r="A35" s="3232" t="s">
        <v>1432</v>
      </c>
      <c r="B35" s="1094" t="s">
        <v>1446</v>
      </c>
      <c r="C35" s="1073" t="s">
        <v>1479</v>
      </c>
      <c r="D35" s="1074"/>
      <c r="E35" s="1094">
        <v>1</v>
      </c>
      <c r="F35" s="1075" t="s">
        <v>1480</v>
      </c>
      <c r="G35" s="1076"/>
    </row>
    <row r="36" spans="1:8" ht="19.5" customHeight="1">
      <c r="A36" s="3232"/>
      <c r="B36" s="3232" t="s">
        <v>1449</v>
      </c>
      <c r="C36" s="1073" t="s">
        <v>1481</v>
      </c>
      <c r="D36" s="1074"/>
      <c r="E36" s="1094">
        <v>1</v>
      </c>
      <c r="F36" s="1075" t="s">
        <v>1482</v>
      </c>
      <c r="G36" s="1076"/>
    </row>
    <row r="37" spans="1:8" ht="19.5" customHeight="1">
      <c r="A37" s="3232"/>
      <c r="B37" s="3232"/>
      <c r="C37" s="1073" t="s">
        <v>1483</v>
      </c>
      <c r="D37" s="1074"/>
      <c r="E37" s="1094">
        <v>1.5</v>
      </c>
      <c r="F37" s="1075" t="s">
        <v>1484</v>
      </c>
      <c r="G37" s="1076"/>
    </row>
    <row r="38" spans="1:8" ht="19.5" customHeight="1">
      <c r="A38" s="3232"/>
      <c r="B38" s="3232"/>
      <c r="C38" s="1073" t="s">
        <v>1485</v>
      </c>
      <c r="D38" s="1074"/>
      <c r="E38" s="1094">
        <v>1</v>
      </c>
      <c r="F38" s="1075" t="s">
        <v>1486</v>
      </c>
      <c r="G38" s="1076"/>
    </row>
    <row r="39" spans="1:8" ht="19.5" customHeight="1">
      <c r="A39" s="3232"/>
      <c r="B39" s="3232"/>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32" t="s">
        <v>1501</v>
      </c>
      <c r="C61" s="1011" t="s">
        <v>1502</v>
      </c>
      <c r="D61" s="1011" t="s">
        <v>1503</v>
      </c>
      <c r="E61" s="1080">
        <v>0.5</v>
      </c>
      <c r="F61" s="1094">
        <v>80</v>
      </c>
      <c r="H61" s="1047">
        <f>SUMIF(C59:C119,基准地价!C8,E59:E119)</f>
        <v>0</v>
      </c>
    </row>
    <row r="62" spans="1:8" s="1047" customFormat="1" ht="24">
      <c r="A62" s="1094">
        <v>2</v>
      </c>
      <c r="B62" s="3232"/>
      <c r="C62" s="1011" t="s">
        <v>1504</v>
      </c>
      <c r="D62" s="1011" t="s">
        <v>1505</v>
      </c>
      <c r="E62" s="1080">
        <v>0.5</v>
      </c>
      <c r="F62" s="1094">
        <v>80</v>
      </c>
    </row>
    <row r="63" spans="1:8" s="1047" customFormat="1" ht="36">
      <c r="A63" s="1094">
        <v>3</v>
      </c>
      <c r="B63" s="3232"/>
      <c r="C63" s="1011" t="s">
        <v>1506</v>
      </c>
      <c r="D63" s="1011" t="s">
        <v>1507</v>
      </c>
      <c r="E63" s="1080">
        <v>0.5</v>
      </c>
      <c r="F63" s="1094">
        <v>80</v>
      </c>
    </row>
    <row r="64" spans="1:8" s="1047" customFormat="1" ht="36">
      <c r="A64" s="1094">
        <v>4</v>
      </c>
      <c r="B64" s="3232"/>
      <c r="C64" s="1011" t="s">
        <v>1508</v>
      </c>
      <c r="D64" s="1011" t="s">
        <v>1509</v>
      </c>
      <c r="E64" s="1080">
        <v>0.4</v>
      </c>
      <c r="F64" s="1094">
        <v>60</v>
      </c>
    </row>
    <row r="65" spans="1:6" s="1047" customFormat="1" ht="36">
      <c r="A65" s="1094">
        <v>5</v>
      </c>
      <c r="B65" s="3232"/>
      <c r="C65" s="1011" t="s">
        <v>1510</v>
      </c>
      <c r="D65" s="1011" t="s">
        <v>1511</v>
      </c>
      <c r="E65" s="1080">
        <v>0.2</v>
      </c>
      <c r="F65" s="1094">
        <v>30</v>
      </c>
    </row>
    <row r="66" spans="1:6" s="1047" customFormat="1" ht="36">
      <c r="A66" s="1094">
        <v>6</v>
      </c>
      <c r="B66" s="3232"/>
      <c r="C66" s="1011" t="s">
        <v>1512</v>
      </c>
      <c r="D66" s="1011" t="s">
        <v>1513</v>
      </c>
      <c r="E66" s="1080">
        <v>0.3</v>
      </c>
      <c r="F66" s="1094">
        <v>50</v>
      </c>
    </row>
    <row r="67" spans="1:6" s="1047" customFormat="1" ht="36">
      <c r="A67" s="1094">
        <v>7</v>
      </c>
      <c r="B67" s="3232"/>
      <c r="C67" s="1011" t="s">
        <v>1514</v>
      </c>
      <c r="D67" s="1011" t="s">
        <v>1515</v>
      </c>
      <c r="E67" s="1080">
        <v>0.2</v>
      </c>
      <c r="F67" s="1094">
        <v>30</v>
      </c>
    </row>
    <row r="68" spans="1:6" s="1047" customFormat="1" ht="36">
      <c r="A68" s="1094">
        <v>8</v>
      </c>
      <c r="B68" s="3232"/>
      <c r="C68" s="1011" t="s">
        <v>1516</v>
      </c>
      <c r="D68" s="1011" t="s">
        <v>1517</v>
      </c>
      <c r="E68" s="1080">
        <v>0.2</v>
      </c>
      <c r="F68" s="1094">
        <v>30</v>
      </c>
    </row>
    <row r="69" spans="1:6" s="1047" customFormat="1" ht="36">
      <c r="A69" s="1094">
        <v>9</v>
      </c>
      <c r="B69" s="3232"/>
      <c r="C69" s="1011" t="s">
        <v>1518</v>
      </c>
      <c r="D69" s="1011" t="s">
        <v>1519</v>
      </c>
      <c r="E69" s="1080">
        <v>0.2</v>
      </c>
      <c r="F69" s="1094">
        <v>30</v>
      </c>
    </row>
    <row r="70" spans="1:6" s="1047" customFormat="1" ht="48">
      <c r="A70" s="1094">
        <v>10</v>
      </c>
      <c r="B70" s="3232"/>
      <c r="C70" s="1011" t="s">
        <v>1520</v>
      </c>
      <c r="D70" s="1011" t="s">
        <v>1521</v>
      </c>
      <c r="E70" s="1080">
        <v>0.2</v>
      </c>
      <c r="F70" s="1094">
        <v>30</v>
      </c>
    </row>
    <row r="71" spans="1:6" s="1047" customFormat="1" ht="48">
      <c r="A71" s="1094">
        <v>11</v>
      </c>
      <c r="B71" s="3232"/>
      <c r="C71" s="1011" t="s">
        <v>1522</v>
      </c>
      <c r="D71" s="1011" t="s">
        <v>1523</v>
      </c>
      <c r="E71" s="1080">
        <v>0.2</v>
      </c>
      <c r="F71" s="1094">
        <v>30</v>
      </c>
    </row>
    <row r="72" spans="1:6" s="1047" customFormat="1" ht="36">
      <c r="A72" s="1094">
        <v>12</v>
      </c>
      <c r="B72" s="3232"/>
      <c r="C72" s="1011" t="s">
        <v>1524</v>
      </c>
      <c r="D72" s="1011" t="s">
        <v>1525</v>
      </c>
      <c r="E72" s="1080">
        <v>0.5</v>
      </c>
      <c r="F72" s="1094">
        <v>80</v>
      </c>
    </row>
    <row r="73" spans="1:6" s="1047" customFormat="1" ht="24">
      <c r="A73" s="1094">
        <v>13</v>
      </c>
      <c r="B73" s="3232"/>
      <c r="C73" s="1011" t="s">
        <v>1526</v>
      </c>
      <c r="D73" s="1011" t="s">
        <v>1527</v>
      </c>
      <c r="E73" s="1080">
        <v>0.4</v>
      </c>
      <c r="F73" s="1094">
        <v>60</v>
      </c>
    </row>
    <row r="74" spans="1:6" s="1047" customFormat="1" ht="24">
      <c r="A74" s="1094">
        <v>14</v>
      </c>
      <c r="B74" s="3232"/>
      <c r="C74" s="1011" t="s">
        <v>1528</v>
      </c>
      <c r="D74" s="1011" t="s">
        <v>1529</v>
      </c>
      <c r="E74" s="1080">
        <v>0.2</v>
      </c>
      <c r="F74" s="1094">
        <v>30</v>
      </c>
    </row>
    <row r="75" spans="1:6" s="1047" customFormat="1" ht="24">
      <c r="A75" s="1094">
        <v>15</v>
      </c>
      <c r="B75" s="3232"/>
      <c r="C75" s="1011" t="s">
        <v>1530</v>
      </c>
      <c r="D75" s="1011" t="s">
        <v>1531</v>
      </c>
      <c r="E75" s="1080">
        <v>0.2</v>
      </c>
      <c r="F75" s="1094">
        <v>30</v>
      </c>
    </row>
    <row r="76" spans="1:6" s="1047" customFormat="1" ht="24">
      <c r="A76" s="1094">
        <v>16</v>
      </c>
      <c r="B76" s="3232" t="s">
        <v>1532</v>
      </c>
      <c r="C76" s="1011" t="s">
        <v>1533</v>
      </c>
      <c r="D76" s="1011" t="s">
        <v>1534</v>
      </c>
      <c r="E76" s="1080">
        <v>0.5</v>
      </c>
      <c r="F76" s="1094">
        <v>80</v>
      </c>
    </row>
    <row r="77" spans="1:6" s="1047" customFormat="1" ht="24">
      <c r="A77" s="1094">
        <v>17</v>
      </c>
      <c r="B77" s="3232"/>
      <c r="C77" s="1011" t="s">
        <v>1535</v>
      </c>
      <c r="D77" s="1011" t="s">
        <v>1536</v>
      </c>
      <c r="E77" s="1080">
        <v>0.5</v>
      </c>
      <c r="F77" s="1094">
        <v>80</v>
      </c>
    </row>
    <row r="78" spans="1:6" s="1047" customFormat="1" ht="24">
      <c r="A78" s="1094">
        <v>18</v>
      </c>
      <c r="B78" s="3232"/>
      <c r="C78" s="1011" t="s">
        <v>1537</v>
      </c>
      <c r="D78" s="1011" t="s">
        <v>1538</v>
      </c>
      <c r="E78" s="1080">
        <v>0.2</v>
      </c>
      <c r="F78" s="1094">
        <v>30</v>
      </c>
    </row>
    <row r="79" spans="1:6" s="1047" customFormat="1" ht="24">
      <c r="A79" s="1094">
        <v>19</v>
      </c>
      <c r="B79" s="3232"/>
      <c r="C79" s="1011" t="s">
        <v>1539</v>
      </c>
      <c r="D79" s="1011" t="s">
        <v>1540</v>
      </c>
      <c r="E79" s="1080">
        <v>0.5</v>
      </c>
      <c r="F79" s="1094">
        <v>80</v>
      </c>
    </row>
    <row r="80" spans="1:6" s="1047" customFormat="1" ht="36">
      <c r="A80" s="1094">
        <v>20</v>
      </c>
      <c r="B80" s="3232"/>
      <c r="C80" s="1011" t="s">
        <v>1541</v>
      </c>
      <c r="D80" s="1011" t="s">
        <v>1542</v>
      </c>
      <c r="E80" s="1080">
        <v>0.2</v>
      </c>
      <c r="F80" s="1094">
        <v>30</v>
      </c>
    </row>
    <row r="81" spans="1:6" s="1047" customFormat="1" ht="36">
      <c r="A81" s="1094">
        <v>21</v>
      </c>
      <c r="B81" s="3232"/>
      <c r="C81" s="1011" t="s">
        <v>1543</v>
      </c>
      <c r="D81" s="1011" t="s">
        <v>1544</v>
      </c>
      <c r="E81" s="1080">
        <v>0.2</v>
      </c>
      <c r="F81" s="1094">
        <v>30</v>
      </c>
    </row>
    <row r="82" spans="1:6" s="1047" customFormat="1" ht="48">
      <c r="A82" s="1094">
        <v>22</v>
      </c>
      <c r="B82" s="3232"/>
      <c r="C82" s="1011" t="s">
        <v>1545</v>
      </c>
      <c r="D82" s="1011" t="s">
        <v>1546</v>
      </c>
      <c r="E82" s="1080">
        <v>0.2</v>
      </c>
      <c r="F82" s="1094">
        <v>30</v>
      </c>
    </row>
    <row r="83" spans="1:6" s="1047" customFormat="1" ht="48">
      <c r="A83" s="1094">
        <v>23</v>
      </c>
      <c r="B83" s="3232"/>
      <c r="C83" s="1011" t="s">
        <v>1547</v>
      </c>
      <c r="D83" s="1011" t="s">
        <v>1548</v>
      </c>
      <c r="E83" s="1080">
        <v>0.2</v>
      </c>
      <c r="F83" s="1094">
        <v>30</v>
      </c>
    </row>
    <row r="84" spans="1:6" s="1047" customFormat="1" ht="36">
      <c r="A84" s="1094">
        <v>24</v>
      </c>
      <c r="B84" s="3232"/>
      <c r="C84" s="1011" t="s">
        <v>1549</v>
      </c>
      <c r="D84" s="1011" t="s">
        <v>1550</v>
      </c>
      <c r="E84" s="1080">
        <v>0.2</v>
      </c>
      <c r="F84" s="1094">
        <v>30</v>
      </c>
    </row>
    <row r="85" spans="1:6" s="1047" customFormat="1" ht="36">
      <c r="A85" s="1094">
        <v>25</v>
      </c>
      <c r="B85" s="3232"/>
      <c r="C85" s="1011" t="s">
        <v>1551</v>
      </c>
      <c r="D85" s="1011" t="s">
        <v>1552</v>
      </c>
      <c r="E85" s="1080">
        <v>0.5</v>
      </c>
      <c r="F85" s="1094">
        <v>80</v>
      </c>
    </row>
    <row r="86" spans="1:6" s="1047" customFormat="1" ht="36">
      <c r="A86" s="1094">
        <v>26</v>
      </c>
      <c r="B86" s="3232"/>
      <c r="C86" s="1011" t="s">
        <v>1553</v>
      </c>
      <c r="D86" s="1011" t="s">
        <v>1554</v>
      </c>
      <c r="E86" s="1080">
        <v>0.2</v>
      </c>
      <c r="F86" s="1094">
        <v>30</v>
      </c>
    </row>
    <row r="87" spans="1:6" s="1047" customFormat="1" ht="36">
      <c r="A87" s="1094">
        <v>27</v>
      </c>
      <c r="B87" s="3232"/>
      <c r="C87" s="1011" t="s">
        <v>1555</v>
      </c>
      <c r="D87" s="1011" t="s">
        <v>1556</v>
      </c>
      <c r="E87" s="1080">
        <v>0.2</v>
      </c>
      <c r="F87" s="1094">
        <v>30</v>
      </c>
    </row>
    <row r="88" spans="1:6" s="1047" customFormat="1" ht="36">
      <c r="A88" s="1094">
        <v>28</v>
      </c>
      <c r="B88" s="3232"/>
      <c r="C88" s="1011" t="s">
        <v>1557</v>
      </c>
      <c r="D88" s="1011" t="s">
        <v>1558</v>
      </c>
      <c r="E88" s="1080">
        <v>0.2</v>
      </c>
      <c r="F88" s="1094">
        <v>30</v>
      </c>
    </row>
    <row r="89" spans="1:6" s="1047" customFormat="1" ht="24">
      <c r="A89" s="1094">
        <v>29</v>
      </c>
      <c r="B89" s="3232"/>
      <c r="C89" s="1011" t="s">
        <v>1559</v>
      </c>
      <c r="D89" s="1011" t="s">
        <v>1560</v>
      </c>
      <c r="E89" s="1080">
        <v>0.2</v>
      </c>
      <c r="F89" s="1094">
        <v>30</v>
      </c>
    </row>
    <row r="90" spans="1:6" s="1047" customFormat="1" ht="24">
      <c r="A90" s="1094">
        <v>30</v>
      </c>
      <c r="B90" s="3232"/>
      <c r="C90" s="1011" t="s">
        <v>1561</v>
      </c>
      <c r="D90" s="1011" t="s">
        <v>1562</v>
      </c>
      <c r="E90" s="1080">
        <v>0.2</v>
      </c>
      <c r="F90" s="1094">
        <v>30</v>
      </c>
    </row>
    <row r="91" spans="1:6" s="1047" customFormat="1" ht="36">
      <c r="A91" s="1094">
        <v>31</v>
      </c>
      <c r="B91" s="3232"/>
      <c r="C91" s="1011" t="s">
        <v>1563</v>
      </c>
      <c r="D91" s="1011" t="s">
        <v>1564</v>
      </c>
      <c r="E91" s="1080">
        <v>0.2</v>
      </c>
      <c r="F91" s="1094">
        <v>30</v>
      </c>
    </row>
    <row r="92" spans="1:6" s="1047" customFormat="1" ht="24">
      <c r="A92" s="1094">
        <v>32</v>
      </c>
      <c r="B92" s="3232" t="s">
        <v>1565</v>
      </c>
      <c r="C92" s="1094" t="s">
        <v>1566</v>
      </c>
      <c r="D92" s="1011" t="s">
        <v>1567</v>
      </c>
      <c r="E92" s="1080">
        <v>0.2</v>
      </c>
      <c r="F92" s="1094">
        <v>30</v>
      </c>
    </row>
    <row r="93" spans="1:6" s="1047" customFormat="1" ht="36">
      <c r="A93" s="1094">
        <v>33</v>
      </c>
      <c r="B93" s="3232"/>
      <c r="C93" s="1094" t="s">
        <v>1568</v>
      </c>
      <c r="D93" s="1011" t="s">
        <v>1569</v>
      </c>
      <c r="E93" s="1080">
        <v>0.2</v>
      </c>
      <c r="F93" s="1094">
        <v>30</v>
      </c>
    </row>
    <row r="94" spans="1:6" s="1047" customFormat="1" ht="48">
      <c r="A94" s="1094">
        <v>34</v>
      </c>
      <c r="B94" s="3232"/>
      <c r="C94" s="1094" t="s">
        <v>1570</v>
      </c>
      <c r="D94" s="1011" t="s">
        <v>1571</v>
      </c>
      <c r="E94" s="1080">
        <v>0.2</v>
      </c>
      <c r="F94" s="1094">
        <v>30</v>
      </c>
    </row>
    <row r="95" spans="1:6" s="1047" customFormat="1" ht="36">
      <c r="A95" s="1094">
        <v>35</v>
      </c>
      <c r="B95" s="3232"/>
      <c r="C95" s="1094" t="s">
        <v>1572</v>
      </c>
      <c r="D95" s="1011" t="s">
        <v>1573</v>
      </c>
      <c r="E95" s="1080">
        <v>0.2</v>
      </c>
      <c r="F95" s="1094">
        <v>30</v>
      </c>
    </row>
    <row r="96" spans="1:6" s="1047" customFormat="1" ht="48">
      <c r="A96" s="1094">
        <v>36</v>
      </c>
      <c r="B96" s="3232"/>
      <c r="C96" s="1011" t="s">
        <v>1574</v>
      </c>
      <c r="D96" s="1011" t="s">
        <v>1575</v>
      </c>
      <c r="E96" s="1080">
        <v>0.2</v>
      </c>
      <c r="F96" s="1094">
        <v>30</v>
      </c>
    </row>
    <row r="97" spans="1:6" s="1047" customFormat="1" ht="36">
      <c r="A97" s="1094">
        <v>37</v>
      </c>
      <c r="B97" s="3232"/>
      <c r="C97" s="1094" t="s">
        <v>1576</v>
      </c>
      <c r="D97" s="1011" t="s">
        <v>1577</v>
      </c>
      <c r="E97" s="1080">
        <v>0.2</v>
      </c>
      <c r="F97" s="1094">
        <v>30</v>
      </c>
    </row>
    <row r="98" spans="1:6" s="1047" customFormat="1" ht="36">
      <c r="A98" s="1094">
        <v>38</v>
      </c>
      <c r="B98" s="3232"/>
      <c r="C98" s="1094" t="s">
        <v>1578</v>
      </c>
      <c r="D98" s="1011" t="s">
        <v>1579</v>
      </c>
      <c r="E98" s="1080">
        <v>0.2</v>
      </c>
      <c r="F98" s="1094">
        <v>30</v>
      </c>
    </row>
    <row r="99" spans="1:6" s="1047" customFormat="1" ht="36">
      <c r="A99" s="1094">
        <v>39</v>
      </c>
      <c r="B99" s="3232" t="s">
        <v>1580</v>
      </c>
      <c r="C99" s="1094" t="s">
        <v>1581</v>
      </c>
      <c r="D99" s="1011" t="s">
        <v>1582</v>
      </c>
      <c r="E99" s="1080">
        <v>0.3</v>
      </c>
      <c r="F99" s="1094">
        <v>50</v>
      </c>
    </row>
    <row r="100" spans="1:6" s="1047" customFormat="1" ht="24">
      <c r="A100" s="1094">
        <v>40</v>
      </c>
      <c r="B100" s="3232"/>
      <c r="C100" s="1094" t="s">
        <v>1583</v>
      </c>
      <c r="D100" s="1011" t="s">
        <v>1584</v>
      </c>
      <c r="E100" s="1080">
        <v>0.2</v>
      </c>
      <c r="F100" s="1094">
        <v>30</v>
      </c>
    </row>
    <row r="101" spans="1:6" s="1047" customFormat="1" ht="36">
      <c r="A101" s="1094">
        <v>41</v>
      </c>
      <c r="B101" s="3232"/>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32" t="s">
        <v>1595</v>
      </c>
      <c r="C105" s="1094" t="s">
        <v>1596</v>
      </c>
      <c r="D105" s="1011" t="s">
        <v>1597</v>
      </c>
      <c r="E105" s="1080">
        <v>0.2</v>
      </c>
      <c r="F105" s="1094">
        <v>30</v>
      </c>
    </row>
    <row r="106" spans="1:6" s="1047" customFormat="1" ht="36">
      <c r="A106" s="1094">
        <v>46</v>
      </c>
      <c r="B106" s="3232"/>
      <c r="C106" s="1094" t="s">
        <v>1598</v>
      </c>
      <c r="D106" s="1011" t="s">
        <v>1599</v>
      </c>
      <c r="E106" s="1080">
        <v>0.2</v>
      </c>
      <c r="F106" s="1094">
        <v>30</v>
      </c>
    </row>
    <row r="107" spans="1:6" s="1047" customFormat="1" ht="36">
      <c r="A107" s="1094">
        <v>47</v>
      </c>
      <c r="B107" s="3232" t="s">
        <v>1600</v>
      </c>
      <c r="C107" s="1094" t="s">
        <v>1601</v>
      </c>
      <c r="D107" s="1011" t="s">
        <v>1602</v>
      </c>
      <c r="E107" s="1080">
        <v>0.3</v>
      </c>
      <c r="F107" s="1094">
        <v>50</v>
      </c>
    </row>
    <row r="108" spans="1:6" s="1047" customFormat="1" ht="36">
      <c r="A108" s="1094">
        <v>48</v>
      </c>
      <c r="B108" s="3232"/>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32" t="s">
        <v>1611</v>
      </c>
      <c r="C111" s="1094" t="s">
        <v>1612</v>
      </c>
      <c r="D111" s="1011" t="s">
        <v>1613</v>
      </c>
      <c r="E111" s="1080">
        <v>0.2</v>
      </c>
      <c r="F111" s="1094">
        <v>30</v>
      </c>
    </row>
    <row r="112" spans="1:6" s="1047" customFormat="1" ht="24">
      <c r="A112" s="1094">
        <v>52</v>
      </c>
      <c r="B112" s="3232"/>
      <c r="C112" s="1094" t="s">
        <v>1614</v>
      </c>
      <c r="D112" s="1011" t="s">
        <v>1615</v>
      </c>
      <c r="E112" s="1080">
        <v>0.2</v>
      </c>
      <c r="F112" s="1094">
        <v>30</v>
      </c>
    </row>
    <row r="113" spans="1:14" s="1047" customFormat="1" ht="24">
      <c r="A113" s="1094">
        <v>53</v>
      </c>
      <c r="B113" s="3232"/>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32" t="s">
        <v>1624</v>
      </c>
      <c r="C116" s="1094" t="s">
        <v>1625</v>
      </c>
      <c r="D116" s="1011" t="s">
        <v>1626</v>
      </c>
      <c r="E116" s="1080">
        <v>0.2</v>
      </c>
      <c r="F116" s="1094">
        <v>30</v>
      </c>
    </row>
    <row r="117" spans="1:14" ht="36">
      <c r="A117" s="1094">
        <v>57</v>
      </c>
      <c r="B117" s="3232"/>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31" t="s">
        <v>1633</v>
      </c>
      <c r="B121" s="3231"/>
      <c r="C121" s="3231"/>
      <c r="D121" s="3231"/>
      <c r="E121" s="3231"/>
      <c r="F121" s="3231"/>
      <c r="G121" s="3231"/>
      <c r="H121" s="3231"/>
      <c r="I121" s="3231"/>
      <c r="J121" s="3231"/>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36" t="s">
        <v>1039</v>
      </c>
      <c r="B1" s="3236"/>
      <c r="C1" s="3236"/>
      <c r="D1" s="3236"/>
      <c r="E1" s="3236"/>
      <c r="F1" s="3236"/>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37" t="s">
        <v>1052</v>
      </c>
      <c r="B2" s="3237"/>
      <c r="C2" s="3237"/>
      <c r="D2" s="3237"/>
      <c r="E2" s="3237"/>
      <c r="F2" s="3237"/>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38"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39"/>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40" t="s">
        <v>2079</v>
      </c>
      <c r="B1" s="3240"/>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48" t="s">
        <v>2576</v>
      </c>
      <c r="C1" s="3248"/>
      <c r="D1" s="3248"/>
      <c r="E1" s="3248"/>
      <c r="F1" s="3248"/>
      <c r="G1" s="3247" t="s">
        <v>2577</v>
      </c>
      <c r="H1" s="3247"/>
      <c r="I1" s="3247"/>
      <c r="J1" s="3247"/>
      <c r="K1" s="3247"/>
      <c r="L1" s="3247"/>
      <c r="N1" s="3247" t="s">
        <v>2578</v>
      </c>
      <c r="O1" s="3247"/>
      <c r="P1" s="3247"/>
      <c r="Q1" s="3247"/>
      <c r="R1" s="2425"/>
      <c r="S1" s="3247" t="s">
        <v>2579</v>
      </c>
      <c r="T1" s="3247"/>
      <c r="U1" s="3247"/>
      <c r="V1" s="3247"/>
      <c r="X1" s="3246" t="s">
        <v>2639</v>
      </c>
      <c r="Y1" s="3247"/>
      <c r="Z1" s="3247"/>
      <c r="AA1" s="3247"/>
      <c r="AB1" s="3247"/>
      <c r="AD1" s="3246" t="s">
        <v>2643</v>
      </c>
      <c r="AE1" s="3247"/>
      <c r="AF1" s="3247"/>
      <c r="AG1" s="3247"/>
      <c r="AH1" s="3247"/>
    </row>
    <row r="2" spans="1:34" s="2518" customFormat="1" ht="14.25" thickBot="1">
      <c r="B2" s="2525" t="s">
        <v>2580</v>
      </c>
      <c r="C2" s="2525" t="s">
        <v>2641</v>
      </c>
      <c r="D2" s="2519" t="s">
        <v>1644</v>
      </c>
      <c r="E2" s="2519" t="s">
        <v>1949</v>
      </c>
      <c r="F2" s="2525" t="s">
        <v>2642</v>
      </c>
      <c r="G2" s="2521"/>
      <c r="I2" s="2525" t="s">
        <v>2953</v>
      </c>
      <c r="J2" s="2519" t="s">
        <v>2955</v>
      </c>
      <c r="K2" s="2519" t="s">
        <v>2956</v>
      </c>
      <c r="L2" s="2525" t="s">
        <v>2957</v>
      </c>
      <c r="N2" s="2525" t="s">
        <v>2580</v>
      </c>
      <c r="O2" s="2519" t="s">
        <v>2954</v>
      </c>
      <c r="P2" s="2519" t="s">
        <v>1949</v>
      </c>
      <c r="Q2" s="2525" t="s">
        <v>2642</v>
      </c>
      <c r="R2" s="2520"/>
      <c r="S2" s="2525" t="s">
        <v>2580</v>
      </c>
      <c r="T2" s="2519" t="s">
        <v>2954</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2966</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2992</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2967</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2991</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2989</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2986</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42">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2976</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42"/>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2977</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42"/>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2973</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43"/>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2964</v>
      </c>
      <c r="B12" s="2865">
        <v>439</v>
      </c>
      <c r="C12" s="2865">
        <v>327</v>
      </c>
      <c r="D12" s="2865">
        <f t="shared" si="65"/>
        <v>327</v>
      </c>
      <c r="E12" s="2865">
        <v>627</v>
      </c>
      <c r="F12" s="2866">
        <v>283</v>
      </c>
      <c r="G12" s="3241">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2968</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42"/>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42"/>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43"/>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41">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42"/>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42"/>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45"/>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44">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42"/>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42"/>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45"/>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44">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42"/>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42"/>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45"/>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49">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50"/>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50"/>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51"/>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44">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42"/>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42"/>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45"/>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44">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42">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42">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45">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44">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42">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42">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45">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44">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42">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42">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45">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44">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42">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42">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45">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44">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42">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42">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45">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44">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42">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42">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45">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44">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42">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42">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45">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44">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42">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42">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45">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44">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42">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42">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45">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44">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42">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42">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45">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2946</v>
      </c>
    </row>
    <row r="2" spans="1:6" ht="14.25">
      <c r="A2" s="2827" t="s">
        <v>2941</v>
      </c>
      <c r="B2" s="2828" t="e">
        <f ca="1">SUMIF(B7:B14,"&lt;&gt;#ref!",B7:B14)</f>
        <v>#DIV/0!</v>
      </c>
      <c r="C2" s="2827" t="s">
        <v>2942</v>
      </c>
    </row>
    <row r="3" spans="1:6" ht="14.25">
      <c r="A3" s="2827" t="s">
        <v>2974</v>
      </c>
      <c r="B3" s="2828" t="e">
        <f ca="1">ROUND(B2*10000/E3,0)</f>
        <v>#DIV/0!</v>
      </c>
      <c r="C3" s="2827" t="s">
        <v>2078</v>
      </c>
      <c r="D3" s="2827" t="s">
        <v>2943</v>
      </c>
      <c r="E3" s="2828">
        <f ca="1">SUMIF(E7:E14,"&lt;&gt;#ref!",E7:E14)</f>
        <v>0</v>
      </c>
    </row>
    <row r="4" spans="1:6" ht="14.25">
      <c r="A4" s="2827" t="s">
        <v>2950</v>
      </c>
      <c r="B4" s="2828" t="e">
        <f ca="1">ROUND(B2*10000/E4,0)</f>
        <v>#DIV/0!</v>
      </c>
      <c r="C4" s="2827" t="s">
        <v>2078</v>
      </c>
      <c r="D4" s="2827" t="s">
        <v>2951</v>
      </c>
      <c r="E4" s="2828">
        <f ca="1">SUMIF(F7:F14,"&lt;&gt;#ref!",F7:F14)</f>
        <v>0</v>
      </c>
    </row>
    <row r="5" spans="1:6" ht="14.25">
      <c r="A5" s="2829"/>
      <c r="B5" s="1768"/>
      <c r="C5" s="1768"/>
      <c r="D5" s="1768"/>
      <c r="E5" s="1768"/>
    </row>
    <row r="6" spans="1:6" ht="28.5">
      <c r="A6" s="2830" t="s">
        <v>2947</v>
      </c>
      <c r="B6" s="2827" t="s">
        <v>2944</v>
      </c>
      <c r="C6" s="2828"/>
      <c r="D6" s="1768"/>
      <c r="E6" s="2827" t="s">
        <v>2945</v>
      </c>
      <c r="F6" s="2827" t="s">
        <v>2949</v>
      </c>
    </row>
    <row r="7" spans="1:6" ht="14.25">
      <c r="A7" s="247" t="s">
        <v>2948</v>
      </c>
      <c r="B7" s="2831" t="e">
        <f ca="1">SUMIF(INDIRECT("'"&amp;A7&amp;"'"&amp;"!A:A"),"总价",INDIRECT("'"&amp;A7&amp;"'"&amp;"!B:B"))</f>
        <v>#DIV/0!</v>
      </c>
      <c r="C7" s="2827" t="s">
        <v>2942</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2942</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2942</v>
      </c>
      <c r="D9" s="1768"/>
      <c r="E9" s="2832" t="e">
        <f t="shared" ca="1" si="1"/>
        <v>#REF!</v>
      </c>
      <c r="F9" s="2832" t="e">
        <f t="shared" ca="1" si="2"/>
        <v>#REF!</v>
      </c>
    </row>
    <row r="10" spans="1:6" ht="14.25">
      <c r="A10" s="247"/>
      <c r="B10" s="2831" t="e">
        <f t="shared" ca="1" si="0"/>
        <v>#REF!</v>
      </c>
      <c r="C10" s="2827" t="s">
        <v>2942</v>
      </c>
      <c r="D10" s="1768"/>
      <c r="E10" s="2832" t="e">
        <f t="shared" ca="1" si="1"/>
        <v>#REF!</v>
      </c>
      <c r="F10" s="2832" t="e">
        <f t="shared" ca="1" si="2"/>
        <v>#REF!</v>
      </c>
    </row>
    <row r="11" spans="1:6" ht="14.25">
      <c r="A11" s="247"/>
      <c r="B11" s="2831" t="e">
        <f t="shared" ca="1" si="0"/>
        <v>#REF!</v>
      </c>
      <c r="C11" s="2827" t="s">
        <v>2942</v>
      </c>
      <c r="D11" s="1768"/>
      <c r="E11" s="2832" t="e">
        <f t="shared" ca="1" si="1"/>
        <v>#REF!</v>
      </c>
      <c r="F11" s="2832" t="e">
        <f t="shared" ca="1" si="2"/>
        <v>#REF!</v>
      </c>
    </row>
    <row r="12" spans="1:6" ht="14.25">
      <c r="A12" s="247"/>
      <c r="B12" s="2831" t="e">
        <f t="shared" ca="1" si="0"/>
        <v>#REF!</v>
      </c>
      <c r="C12" s="2827" t="s">
        <v>2942</v>
      </c>
      <c r="D12" s="1768"/>
      <c r="E12" s="2832" t="e">
        <f t="shared" ca="1" si="1"/>
        <v>#REF!</v>
      </c>
      <c r="F12" s="2832" t="e">
        <f t="shared" ca="1" si="2"/>
        <v>#REF!</v>
      </c>
    </row>
    <row r="13" spans="1:6" ht="14.25">
      <c r="A13" s="247"/>
      <c r="B13" s="2831" t="e">
        <f t="shared" ca="1" si="0"/>
        <v>#REF!</v>
      </c>
      <c r="C13" s="2827" t="s">
        <v>2942</v>
      </c>
      <c r="D13" s="1768"/>
      <c r="E13" s="2832" t="e">
        <f t="shared" ca="1" si="1"/>
        <v>#REF!</v>
      </c>
      <c r="F13" s="2832" t="e">
        <f t="shared" ca="1" si="2"/>
        <v>#REF!</v>
      </c>
    </row>
    <row r="14" spans="1:6" ht="14.25">
      <c r="A14" s="2826"/>
      <c r="B14" s="2831" t="e">
        <f t="shared" ca="1" si="0"/>
        <v>#REF!</v>
      </c>
      <c r="C14" s="2827" t="s">
        <v>2942</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53" t="s">
        <v>2463</v>
      </c>
      <c r="C8" s="1713">
        <f ca="1">ROUND(F8*F10*F9*(1-F11)/10000,0)</f>
        <v>0</v>
      </c>
      <c r="D8" s="324" t="s">
        <v>2534</v>
      </c>
      <c r="E8" s="59" t="s">
        <v>637</v>
      </c>
      <c r="F8" s="751">
        <f ca="1">INDIRECT("'数据-取费表'!u"&amp;$G$1)</f>
        <v>0</v>
      </c>
      <c r="G8" s="1278"/>
      <c r="H8" s="2303" t="s">
        <v>1824</v>
      </c>
      <c r="I8" s="3253" t="s">
        <v>2463</v>
      </c>
      <c r="J8" s="749">
        <f ca="1">ROUND(M8*M10*M9*(1-M11)/10000,0)</f>
        <v>0</v>
      </c>
      <c r="K8" s="322" t="s">
        <v>2534</v>
      </c>
      <c r="L8" s="750" t="s">
        <v>1738</v>
      </c>
      <c r="M8" s="751">
        <f ca="1">INDIRECT("'数据-取费表'!z"&amp;$G$1)</f>
        <v>0</v>
      </c>
    </row>
    <row r="9" spans="1:25" ht="18" customHeight="1">
      <c r="A9" s="2299"/>
      <c r="B9" s="3254"/>
      <c r="C9" s="1714"/>
      <c r="D9" s="337"/>
      <c r="E9" s="59" t="s">
        <v>638</v>
      </c>
      <c r="F9" s="751">
        <f ca="1">IF(INDIRECT("'数据-取费表'!ah"&amp;$G$1)="",INDIRECT("'数据-取费表'!k"&amp;$G$1),INDIRECT("'数据-取费表'!ah"&amp;$G$1))</f>
        <v>0</v>
      </c>
      <c r="G9" s="1278"/>
      <c r="H9" s="2288"/>
      <c r="I9" s="3254"/>
      <c r="J9" s="754"/>
      <c r="K9" s="755"/>
      <c r="L9" s="750" t="s">
        <v>1739</v>
      </c>
      <c r="M9" s="751">
        <f ca="1">F9</f>
        <v>0</v>
      </c>
    </row>
    <row r="10" spans="1:25" ht="18" customHeight="1">
      <c r="A10" s="2292"/>
      <c r="B10" s="3255"/>
      <c r="C10" s="1714"/>
      <c r="D10" s="337"/>
      <c r="E10" s="59" t="s">
        <v>639</v>
      </c>
      <c r="F10" s="751">
        <f ca="1">INDIRECT("'数据-取费表'!ai"&amp;$G$1)</f>
        <v>0</v>
      </c>
      <c r="G10" s="1278"/>
      <c r="H10" s="2288"/>
      <c r="I10" s="3255"/>
      <c r="J10" s="754"/>
      <c r="K10" s="755"/>
      <c r="L10" s="750" t="s">
        <v>1740</v>
      </c>
      <c r="M10" s="751">
        <f ca="1">INDIRECT("'数据-取费表'!ai"&amp;$G$1)</f>
        <v>0</v>
      </c>
    </row>
    <row r="11" spans="1:25" ht="18" customHeight="1">
      <c r="A11" s="752"/>
      <c r="B11" s="3256"/>
      <c r="C11" s="1714"/>
      <c r="D11" s="337"/>
      <c r="E11" s="59" t="s">
        <v>640</v>
      </c>
      <c r="F11" s="760">
        <f ca="1">INDIRECT("'数据-取费表'!w"&amp;$G$1)</f>
        <v>0</v>
      </c>
      <c r="G11" s="1278"/>
      <c r="H11" s="2304"/>
      <c r="I11" s="3255"/>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2971</v>
      </c>
      <c r="E12" s="2297" t="s">
        <v>2464</v>
      </c>
      <c r="F12" s="2407"/>
      <c r="G12" s="1278"/>
      <c r="H12" s="2358" t="s">
        <v>1825</v>
      </c>
      <c r="I12" s="2362" t="s">
        <v>2459</v>
      </c>
      <c r="J12" s="749">
        <f ca="1">ROUND(IF(M12="押一",J8/12*M13,IF(M12="押二",J8/12*2*M13,IF(M12="押三",J8/12*3*M13,J13*M13))),0)</f>
        <v>0</v>
      </c>
      <c r="K12" s="2300" t="s">
        <v>2971</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52"/>
      <c r="J36" s="1933"/>
      <c r="K36" s="1934"/>
      <c r="L36" s="1933"/>
      <c r="M36" s="1933"/>
    </row>
    <row r="37" spans="1:18" ht="18" customHeight="1">
      <c r="A37" s="781"/>
      <c r="B37" s="759"/>
      <c r="C37" s="67"/>
      <c r="D37" s="782"/>
      <c r="E37" s="750" t="s">
        <v>674</v>
      </c>
      <c r="F37" s="751">
        <f ca="1">INDIRECT("'数据-取费表'!r"&amp;$G$1)</f>
        <v>0</v>
      </c>
      <c r="G37" s="1911"/>
      <c r="H37" s="1920"/>
      <c r="I37" s="3252"/>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2959</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2962</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2975</v>
      </c>
      <c r="J54" s="2939">
        <f ca="1">IF(M48="住宅",MAX(J52,L49-'数据-取费表'!B20),MIN(J52,L49-'数据-取费表'!B20))</f>
        <v>0</v>
      </c>
      <c r="K54" s="3257"/>
      <c r="L54" s="3258"/>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2940</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2939</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53" t="s">
        <v>2463</v>
      </c>
      <c r="C6" s="749">
        <f ca="1">ROUND(F6*F8*F7*(1-F9)/10000,0)</f>
        <v>0</v>
      </c>
      <c r="D6" s="2296" t="s">
        <v>2462</v>
      </c>
      <c r="E6" s="750" t="s">
        <v>1738</v>
      </c>
      <c r="F6" s="751">
        <f ca="1">INDIRECT("'数据-取费表'!u"&amp;$G$1)</f>
        <v>0</v>
      </c>
      <c r="G6" s="1278"/>
      <c r="H6" s="2303" t="s">
        <v>2468</v>
      </c>
      <c r="I6" s="3253" t="s">
        <v>2463</v>
      </c>
      <c r="J6" s="749">
        <f ca="1">ROUND(M6*M8*M7*(1-M9)/10000,0)</f>
        <v>0</v>
      </c>
      <c r="K6" s="322" t="s">
        <v>1737</v>
      </c>
      <c r="L6" s="750" t="s">
        <v>1738</v>
      </c>
      <c r="M6" s="751">
        <f ca="1">INDIRECT("'数据-取费表'!z"&amp;$G$1)</f>
        <v>0</v>
      </c>
    </row>
    <row r="7" spans="1:33" ht="18" customHeight="1">
      <c r="A7" s="2299"/>
      <c r="B7" s="3254"/>
      <c r="C7" s="754"/>
      <c r="D7" s="755"/>
      <c r="E7" s="750" t="s">
        <v>1739</v>
      </c>
      <c r="F7" s="751">
        <f ca="1">IF(INDIRECT("'数据-取费表'!ah"&amp;$G$1)="",INDIRECT("'数据-取费表'!k"&amp;$G$1),INDIRECT("'数据-取费表'!ah"&amp;$G$1))</f>
        <v>0</v>
      </c>
      <c r="G7" s="1278"/>
      <c r="H7" s="2288"/>
      <c r="I7" s="3254"/>
      <c r="J7" s="754"/>
      <c r="K7" s="755"/>
      <c r="L7" s="750" t="s">
        <v>1739</v>
      </c>
      <c r="M7" s="751">
        <f ca="1">F7</f>
        <v>0</v>
      </c>
    </row>
    <row r="8" spans="1:33" ht="18" customHeight="1">
      <c r="A8" s="2292"/>
      <c r="B8" s="3255"/>
      <c r="C8" s="754"/>
      <c r="D8" s="755"/>
      <c r="E8" s="750" t="s">
        <v>1740</v>
      </c>
      <c r="F8" s="751">
        <f ca="1">INDIRECT("'数据-取费表'!ai"&amp;$G$1)</f>
        <v>0</v>
      </c>
      <c r="G8" s="1278"/>
      <c r="H8" s="2288"/>
      <c r="I8" s="3255"/>
      <c r="J8" s="754"/>
      <c r="K8" s="755"/>
      <c r="L8" s="750" t="s">
        <v>1740</v>
      </c>
      <c r="M8" s="751">
        <f ca="1">INDIRECT("'数据-取费表'!ai"&amp;$G$1)</f>
        <v>0</v>
      </c>
    </row>
    <row r="9" spans="1:33" ht="18" customHeight="1">
      <c r="A9" s="752"/>
      <c r="B9" s="3256"/>
      <c r="C9" s="754"/>
      <c r="D9" s="755"/>
      <c r="E9" s="750" t="s">
        <v>1741</v>
      </c>
      <c r="F9" s="760">
        <f ca="1">INDIRECT("'数据-取费表'!w"&amp;$G$1)</f>
        <v>0</v>
      </c>
      <c r="G9" s="1278"/>
      <c r="H9" s="2304"/>
      <c r="I9" s="3255"/>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2971</v>
      </c>
      <c r="E10" s="2297" t="s">
        <v>2464</v>
      </c>
      <c r="F10" s="2407"/>
      <c r="G10" s="1278"/>
      <c r="H10" s="2358" t="s">
        <v>2469</v>
      </c>
      <c r="I10" s="2362" t="s">
        <v>2459</v>
      </c>
      <c r="J10" s="749">
        <f ca="1">ROUND(IF(M10="押一",J6/12*M11,IF(M10="押二",J6/12*2*M11,IF(M10="押三",J6/12*3*M11,J11*M11))),0)</f>
        <v>0</v>
      </c>
      <c r="K10" s="2300" t="s">
        <v>2971</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2961</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2972</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2975</v>
      </c>
      <c r="J53" s="2939">
        <f ca="1">IF(M47="住宅",IF(D1="——",MAX(J51,L48),MAX(J51,L48-'数据-取费表'!B20)),IF(D1="——",MIN(J51,L48),MIN(J51,L48-'数据-取费表'!B20)))</f>
        <v>0</v>
      </c>
      <c r="K53" s="3259" t="s">
        <v>2963</v>
      </c>
      <c r="L53" s="3260"/>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2940</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61" t="s">
        <v>2471</v>
      </c>
      <c r="B1" s="3262"/>
      <c r="C1" s="3263"/>
      <c r="D1" s="3264">
        <f>SUM(I10,I15,I20,I21,I23)</f>
        <v>0</v>
      </c>
      <c r="E1" s="3264"/>
      <c r="F1" s="3264"/>
      <c r="G1" s="3264"/>
      <c r="H1" s="3264"/>
      <c r="I1" s="3265"/>
    </row>
    <row r="2" spans="1:9">
      <c r="A2" s="3266" t="s">
        <v>2472</v>
      </c>
      <c r="B2" s="3267" t="s">
        <v>2473</v>
      </c>
      <c r="C2" s="3267"/>
      <c r="D2" s="2306" t="s">
        <v>2474</v>
      </c>
      <c r="E2" s="2306" t="s">
        <v>2475</v>
      </c>
      <c r="F2" s="2306" t="s">
        <v>2476</v>
      </c>
      <c r="G2" s="2306" t="s">
        <v>2477</v>
      </c>
      <c r="H2" s="2306" t="s">
        <v>2478</v>
      </c>
      <c r="I2" s="2307" t="s">
        <v>2479</v>
      </c>
    </row>
    <row r="3" spans="1:9">
      <c r="A3" s="3266"/>
      <c r="B3" s="3267" t="s">
        <v>2480</v>
      </c>
      <c r="C3" s="3267"/>
      <c r="D3" s="2308"/>
      <c r="E3" s="2306"/>
      <c r="F3" s="2309"/>
      <c r="G3" s="2309"/>
      <c r="H3" s="2310"/>
      <c r="I3" s="2311">
        <f>ROUND(D3*E3*F3*G3*H3/10000,0)</f>
        <v>0</v>
      </c>
    </row>
    <row r="4" spans="1:9">
      <c r="A4" s="3266"/>
      <c r="B4" s="3267" t="s">
        <v>2481</v>
      </c>
      <c r="C4" s="3267"/>
      <c r="D4" s="2308"/>
      <c r="E4" s="2306"/>
      <c r="F4" s="2309"/>
      <c r="G4" s="2309"/>
      <c r="H4" s="2310"/>
      <c r="I4" s="2311">
        <f t="shared" ref="I4:I9" si="0">ROUND(D4*E4*F4*G4*H4/10000,0)</f>
        <v>0</v>
      </c>
    </row>
    <row r="5" spans="1:9">
      <c r="A5" s="3266"/>
      <c r="B5" s="3267" t="s">
        <v>2482</v>
      </c>
      <c r="C5" s="3267"/>
      <c r="D5" s="2308"/>
      <c r="E5" s="2306"/>
      <c r="F5" s="2309"/>
      <c r="G5" s="2309"/>
      <c r="H5" s="2310"/>
      <c r="I5" s="2311">
        <f t="shared" si="0"/>
        <v>0</v>
      </c>
    </row>
    <row r="6" spans="1:9">
      <c r="A6" s="3266"/>
      <c r="B6" s="3267" t="s">
        <v>2483</v>
      </c>
      <c r="C6" s="3267"/>
      <c r="D6" s="2308"/>
      <c r="E6" s="2306"/>
      <c r="F6" s="2309"/>
      <c r="G6" s="2309"/>
      <c r="H6" s="2310"/>
      <c r="I6" s="2311">
        <f t="shared" si="0"/>
        <v>0</v>
      </c>
    </row>
    <row r="7" spans="1:9">
      <c r="A7" s="3266"/>
      <c r="B7" s="3267" t="s">
        <v>2484</v>
      </c>
      <c r="C7" s="3267"/>
      <c r="D7" s="2308"/>
      <c r="E7" s="2306"/>
      <c r="F7" s="2309"/>
      <c r="G7" s="2309"/>
      <c r="H7" s="2310"/>
      <c r="I7" s="2311">
        <f t="shared" si="0"/>
        <v>0</v>
      </c>
    </row>
    <row r="8" spans="1:9">
      <c r="A8" s="3266"/>
      <c r="B8" s="3267" t="s">
        <v>2485</v>
      </c>
      <c r="C8" s="3267"/>
      <c r="D8" s="2308"/>
      <c r="E8" s="2306"/>
      <c r="F8" s="2309"/>
      <c r="G8" s="2309"/>
      <c r="H8" s="2310"/>
      <c r="I8" s="2311">
        <f t="shared" si="0"/>
        <v>0</v>
      </c>
    </row>
    <row r="9" spans="1:9">
      <c r="A9" s="3266"/>
      <c r="B9" s="3267" t="s">
        <v>2486</v>
      </c>
      <c r="C9" s="3267"/>
      <c r="D9" s="2308"/>
      <c r="E9" s="2306"/>
      <c r="F9" s="2309"/>
      <c r="G9" s="2309"/>
      <c r="H9" s="2310"/>
      <c r="I9" s="2311">
        <f t="shared" si="0"/>
        <v>0</v>
      </c>
    </row>
    <row r="10" spans="1:9">
      <c r="A10" s="3266"/>
      <c r="B10" s="3268" t="s">
        <v>2487</v>
      </c>
      <c r="C10" s="3268"/>
      <c r="D10" s="2312">
        <v>527</v>
      </c>
      <c r="E10" s="2312" t="e">
        <f>ROUND(D1*10000/D10/H9,0)</f>
        <v>#DIV/0!</v>
      </c>
      <c r="F10" s="2313"/>
      <c r="G10" s="2313"/>
      <c r="H10" s="2314"/>
      <c r="I10" s="2315">
        <f>SUM(I3:I9)</f>
        <v>0</v>
      </c>
    </row>
    <row r="11" spans="1:9" ht="14.25">
      <c r="A11" s="3266" t="s">
        <v>2488</v>
      </c>
      <c r="B11" s="3267" t="s">
        <v>2489</v>
      </c>
      <c r="C11" s="3267"/>
      <c r="D11" s="2308" t="s">
        <v>2490</v>
      </c>
      <c r="E11" s="2308" t="s">
        <v>2491</v>
      </c>
      <c r="F11" s="2309" t="s">
        <v>2492</v>
      </c>
      <c r="G11" s="2309" t="s">
        <v>2493</v>
      </c>
      <c r="H11" s="2316" t="s">
        <v>2494</v>
      </c>
      <c r="I11" s="2307" t="s">
        <v>2495</v>
      </c>
    </row>
    <row r="12" spans="1:9">
      <c r="A12" s="3266"/>
      <c r="B12" s="3267" t="s">
        <v>2496</v>
      </c>
      <c r="C12" s="3267"/>
      <c r="D12" s="2308"/>
      <c r="E12" s="2308"/>
      <c r="F12" s="2309"/>
      <c r="G12" s="2310"/>
      <c r="H12" s="2317"/>
      <c r="I12" s="2307">
        <f>ROUND(D12*E12*F12*G12/10000,0)</f>
        <v>0</v>
      </c>
    </row>
    <row r="13" spans="1:9">
      <c r="A13" s="3266"/>
      <c r="B13" s="3267" t="s">
        <v>2497</v>
      </c>
      <c r="C13" s="3267"/>
      <c r="D13" s="2308"/>
      <c r="E13" s="2308"/>
      <c r="F13" s="2309"/>
      <c r="G13" s="2310"/>
      <c r="H13" s="2317"/>
      <c r="I13" s="2307">
        <f>ROUND(D13*E13*F13*G13/10000,0)</f>
        <v>0</v>
      </c>
    </row>
    <row r="14" spans="1:9">
      <c r="A14" s="3266"/>
      <c r="B14" s="3267" t="s">
        <v>2498</v>
      </c>
      <c r="C14" s="3267"/>
      <c r="D14" s="2308"/>
      <c r="E14" s="2308"/>
      <c r="F14" s="2309"/>
      <c r="G14" s="2310"/>
      <c r="H14" s="2317"/>
      <c r="I14" s="2307">
        <f>ROUND(D14*E14*F14*G14/10000,0)</f>
        <v>0</v>
      </c>
    </row>
    <row r="15" spans="1:9">
      <c r="A15" s="3266"/>
      <c r="B15" s="3268" t="s">
        <v>2487</v>
      </c>
      <c r="C15" s="3268"/>
      <c r="D15" s="2312"/>
      <c r="E15" s="2312">
        <f>SUM(E12:E14)</f>
        <v>0</v>
      </c>
      <c r="F15" s="2313"/>
      <c r="G15" s="2310"/>
      <c r="H15" s="2317"/>
      <c r="I15" s="2318">
        <f>SUM(I12:I14)</f>
        <v>0</v>
      </c>
    </row>
    <row r="16" spans="1:9" ht="24">
      <c r="A16" s="3266" t="s">
        <v>2499</v>
      </c>
      <c r="B16" s="3267" t="s">
        <v>2500</v>
      </c>
      <c r="C16" s="3267"/>
      <c r="D16" s="2308" t="s">
        <v>2501</v>
      </c>
      <c r="E16" s="2319" t="s">
        <v>2502</v>
      </c>
      <c r="F16" s="2309" t="s">
        <v>2503</v>
      </c>
      <c r="G16" s="2310" t="s">
        <v>2493</v>
      </c>
      <c r="H16" s="2316" t="s">
        <v>2494</v>
      </c>
      <c r="I16" s="2307" t="s">
        <v>2495</v>
      </c>
    </row>
    <row r="17" spans="1:9" ht="14.25">
      <c r="A17" s="3266"/>
      <c r="B17" s="3267" t="s">
        <v>2504</v>
      </c>
      <c r="C17" s="3267"/>
      <c r="D17" s="2308"/>
      <c r="E17" s="2308"/>
      <c r="F17" s="2309"/>
      <c r="G17" s="2310"/>
      <c r="H17" s="2320"/>
      <c r="I17" s="2321">
        <f>ROUND(D17*E17*F17*G17/10000,0)</f>
        <v>0</v>
      </c>
    </row>
    <row r="18" spans="1:9" ht="14.25">
      <c r="A18" s="3266"/>
      <c r="B18" s="3267" t="s">
        <v>2505</v>
      </c>
      <c r="C18" s="3267"/>
      <c r="D18" s="2308"/>
      <c r="E18" s="2308"/>
      <c r="F18" s="2309"/>
      <c r="G18" s="2310"/>
      <c r="H18" s="2320"/>
      <c r="I18" s="2321">
        <f>ROUND(D18*E18*F18*G18/10000,0)</f>
        <v>0</v>
      </c>
    </row>
    <row r="19" spans="1:9" ht="14.25">
      <c r="A19" s="3266"/>
      <c r="B19" s="3267" t="s">
        <v>2506</v>
      </c>
      <c r="C19" s="3267"/>
      <c r="D19" s="2308"/>
      <c r="E19" s="2308"/>
      <c r="F19" s="2309"/>
      <c r="G19" s="2310"/>
      <c r="H19" s="2320"/>
      <c r="I19" s="2321">
        <f>ROUND(D19*E19*F19*G19/10000,0)</f>
        <v>0</v>
      </c>
    </row>
    <row r="20" spans="1:9">
      <c r="A20" s="3266"/>
      <c r="B20" s="3268" t="s">
        <v>2487</v>
      </c>
      <c r="C20" s="3268"/>
      <c r="D20" s="2312">
        <f>SUM(D17:D19)</f>
        <v>0</v>
      </c>
      <c r="E20" s="2312"/>
      <c r="F20" s="2313"/>
      <c r="G20" s="2310"/>
      <c r="H20" s="2317"/>
      <c r="I20" s="2318">
        <f>SUM(I17:I19)</f>
        <v>0</v>
      </c>
    </row>
    <row r="21" spans="1:9">
      <c r="A21" s="3266" t="s">
        <v>2507</v>
      </c>
      <c r="B21" s="3270"/>
      <c r="C21" s="3270"/>
      <c r="D21" s="3270"/>
      <c r="E21" s="3270"/>
      <c r="F21" s="3270"/>
      <c r="G21" s="3270"/>
      <c r="H21" s="2322">
        <v>0.1</v>
      </c>
      <c r="I21" s="2315">
        <f>ROUND(I10*H21,0)</f>
        <v>0</v>
      </c>
    </row>
    <row r="22" spans="1:9" ht="14.25">
      <c r="A22" s="3271" t="s">
        <v>2508</v>
      </c>
      <c r="B22" s="3272"/>
      <c r="C22" s="3273"/>
      <c r="D22" s="2308" t="s">
        <v>2509</v>
      </c>
      <c r="E22" s="2308" t="s">
        <v>2510</v>
      </c>
      <c r="F22" s="2323" t="s">
        <v>2511</v>
      </c>
      <c r="G22" s="2323" t="s">
        <v>2512</v>
      </c>
      <c r="H22" s="2316" t="s">
        <v>2513</v>
      </c>
      <c r="I22" s="2307" t="s">
        <v>2514</v>
      </c>
    </row>
    <row r="23" spans="1:9" ht="14.25" thickBot="1">
      <c r="A23" s="3274"/>
      <c r="B23" s="3275"/>
      <c r="C23" s="3276"/>
      <c r="D23" s="2324"/>
      <c r="E23" s="2324"/>
      <c r="F23" s="2324"/>
      <c r="G23" s="2325"/>
      <c r="H23" s="2326"/>
      <c r="I23" s="2327">
        <f>ROUND(E23*D23*F23*(1-G23)/10000,0)</f>
        <v>0</v>
      </c>
    </row>
    <row r="26" spans="1:9">
      <c r="A26" s="2328" t="s">
        <v>2515</v>
      </c>
      <c r="B26" s="2328"/>
      <c r="C26" s="2328"/>
      <c r="D26" s="2328"/>
      <c r="E26" s="3277">
        <f>C27-C30-C31-C32</f>
        <v>0</v>
      </c>
      <c r="F26" s="3277"/>
      <c r="G26" s="3277"/>
      <c r="H26" s="2768" t="s">
        <v>2843</v>
      </c>
    </row>
    <row r="27" spans="1:9">
      <c r="A27" s="2329">
        <v>1</v>
      </c>
      <c r="B27" s="2330" t="s">
        <v>2516</v>
      </c>
      <c r="C27" s="2330"/>
      <c r="D27" s="2330"/>
      <c r="E27" s="3278"/>
      <c r="F27" s="3278"/>
      <c r="G27" s="3278"/>
    </row>
    <row r="28" spans="1:9">
      <c r="A28" s="2331" t="s">
        <v>2517</v>
      </c>
      <c r="B28" s="2330" t="s">
        <v>2518</v>
      </c>
      <c r="C28" s="2330"/>
      <c r="D28" s="2330"/>
      <c r="E28" s="3278"/>
      <c r="F28" s="3278"/>
      <c r="G28" s="3278"/>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69"/>
      <c r="F32" s="3269"/>
      <c r="G32" s="3269"/>
    </row>
    <row r="33" spans="1:7" hidden="1">
      <c r="A33" s="3279" t="s">
        <v>2526</v>
      </c>
      <c r="B33" s="3280"/>
      <c r="C33" s="3280"/>
      <c r="D33" s="3281"/>
      <c r="E33" s="3277"/>
      <c r="F33" s="3277"/>
      <c r="G33" s="3277"/>
    </row>
    <row r="34" spans="1:7" hidden="1">
      <c r="A34" s="2329">
        <v>1</v>
      </c>
      <c r="B34" s="2330" t="s">
        <v>2527</v>
      </c>
      <c r="C34" s="2330"/>
      <c r="D34" s="2330"/>
      <c r="E34" s="3278"/>
      <c r="F34" s="3278"/>
      <c r="G34" s="3278"/>
    </row>
    <row r="35" spans="1:7" hidden="1">
      <c r="A35" s="2329">
        <v>2</v>
      </c>
      <c r="B35" s="2330" t="s">
        <v>2528</v>
      </c>
      <c r="C35" s="2330"/>
      <c r="D35" s="2330"/>
      <c r="E35" s="3278"/>
      <c r="F35" s="3278"/>
      <c r="G35" s="3278"/>
    </row>
    <row r="36" spans="1:7" hidden="1">
      <c r="A36" s="2329">
        <v>3</v>
      </c>
      <c r="B36" s="2330" t="s">
        <v>2529</v>
      </c>
      <c r="C36" s="2330"/>
      <c r="D36" s="2330"/>
      <c r="E36" s="3278"/>
      <c r="F36" s="3278"/>
      <c r="G36" s="3278"/>
    </row>
    <row r="37" spans="1:7" hidden="1">
      <c r="A37" s="2329">
        <v>4</v>
      </c>
      <c r="B37" s="2330" t="s">
        <v>2530</v>
      </c>
      <c r="C37" s="2330"/>
      <c r="D37" s="2330"/>
      <c r="E37" s="3278"/>
      <c r="F37" s="3278"/>
      <c r="G37" s="3278"/>
    </row>
    <row r="38" spans="1:7" hidden="1">
      <c r="A38" s="3279" t="s">
        <v>2531</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72" t="s">
        <v>522</v>
      </c>
      <c r="D4" s="3173"/>
      <c r="E4" s="3206" t="s">
        <v>523</v>
      </c>
      <c r="F4" s="3207"/>
      <c r="G4" s="3172" t="s">
        <v>524</v>
      </c>
      <c r="H4" s="3173"/>
      <c r="I4" s="3172" t="s">
        <v>525</v>
      </c>
      <c r="J4" s="3173"/>
      <c r="K4" s="819" t="s">
        <v>526</v>
      </c>
      <c r="L4" s="1985"/>
      <c r="M4" s="1986"/>
      <c r="N4" s="1986"/>
      <c r="O4" s="1986"/>
      <c r="P4" s="3174" t="s">
        <v>527</v>
      </c>
      <c r="Q4" s="3175"/>
      <c r="R4" s="3180" t="s">
        <v>523</v>
      </c>
      <c r="S4" s="3181"/>
      <c r="T4" s="3180" t="s">
        <v>524</v>
      </c>
      <c r="U4" s="3181"/>
      <c r="V4" s="3167" t="s">
        <v>525</v>
      </c>
      <c r="W4" s="3167"/>
      <c r="X4" s="1473"/>
      <c r="Y4" s="3180" t="s">
        <v>527</v>
      </c>
      <c r="Z4" s="3181"/>
      <c r="AA4" s="3169" t="s">
        <v>523</v>
      </c>
      <c r="AB4" s="3169" t="s">
        <v>524</v>
      </c>
      <c r="AC4" s="3169" t="s">
        <v>525</v>
      </c>
    </row>
    <row r="5" spans="1:29" ht="15">
      <c r="A5" s="493"/>
      <c r="B5" s="494"/>
      <c r="C5" s="3188" t="s">
        <v>2927</v>
      </c>
      <c r="D5" s="3189"/>
      <c r="E5" s="3208" t="s">
        <v>2928</v>
      </c>
      <c r="F5" s="3209"/>
      <c r="G5" s="3188" t="s">
        <v>2929</v>
      </c>
      <c r="H5" s="3189"/>
      <c r="I5" s="3188" t="s">
        <v>2930</v>
      </c>
      <c r="J5" s="3189"/>
      <c r="K5" s="820"/>
      <c r="L5" s="1985"/>
      <c r="M5" s="1986"/>
      <c r="N5" s="1986"/>
      <c r="O5" s="1986"/>
      <c r="P5" s="3176"/>
      <c r="Q5" s="3177"/>
      <c r="R5" s="3182"/>
      <c r="S5" s="3183"/>
      <c r="T5" s="3182"/>
      <c r="U5" s="3183"/>
      <c r="V5" s="3167"/>
      <c r="W5" s="3167"/>
      <c r="X5" s="1473"/>
      <c r="Y5" s="3182"/>
      <c r="Z5" s="3183"/>
      <c r="AA5" s="3170"/>
      <c r="AB5" s="3170"/>
      <c r="AC5" s="3170"/>
    </row>
    <row r="6" spans="1:29" ht="15.75" thickBot="1">
      <c r="A6" s="495"/>
      <c r="B6" s="496"/>
      <c r="C6" s="3186" t="s">
        <v>2931</v>
      </c>
      <c r="D6" s="3187"/>
      <c r="E6" s="3204" t="s">
        <v>2931</v>
      </c>
      <c r="F6" s="3205"/>
      <c r="G6" s="3186" t="s">
        <v>2931</v>
      </c>
      <c r="H6" s="3187"/>
      <c r="I6" s="3186" t="s">
        <v>2931</v>
      </c>
      <c r="J6" s="3187"/>
      <c r="K6" s="820" t="s">
        <v>528</v>
      </c>
      <c r="L6" s="1985"/>
      <c r="M6" s="1986"/>
      <c r="N6" s="1986"/>
      <c r="O6" s="1986"/>
      <c r="P6" s="3178"/>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97" t="s">
        <v>530</v>
      </c>
      <c r="Q7" s="3199"/>
      <c r="R7" s="1474" t="s">
        <v>13</v>
      </c>
      <c r="S7" s="1475">
        <f t="shared" ref="S7:S15" si="0">F7</f>
        <v>0</v>
      </c>
      <c r="T7" s="1474" t="s">
        <v>13</v>
      </c>
      <c r="U7" s="1475">
        <f t="shared" ref="U7:U15" si="1">H7</f>
        <v>0</v>
      </c>
      <c r="V7" s="1474" t="s">
        <v>13</v>
      </c>
      <c r="W7" s="1475">
        <f t="shared" ref="W7:W15"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97" t="s">
        <v>533</v>
      </c>
      <c r="Q8" s="3198"/>
      <c r="R8" s="1474" t="s">
        <v>13</v>
      </c>
      <c r="S8" s="1475">
        <f t="shared" si="0"/>
        <v>0</v>
      </c>
      <c r="T8" s="1474" t="s">
        <v>13</v>
      </c>
      <c r="U8" s="1475">
        <f t="shared" si="1"/>
        <v>0</v>
      </c>
      <c r="V8" s="1474" t="s">
        <v>13</v>
      </c>
      <c r="W8" s="1475">
        <f t="shared" si="2"/>
        <v>0</v>
      </c>
      <c r="X8" s="1476"/>
      <c r="Y8" s="3197" t="s">
        <v>533</v>
      </c>
      <c r="Z8" s="3198"/>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66" t="s">
        <v>535</v>
      </c>
      <c r="Q9" s="852" t="str">
        <f t="shared" ref="Q9:Q15" si="6">B9</f>
        <v>用途</v>
      </c>
      <c r="R9" s="1474" t="s">
        <v>8</v>
      </c>
      <c r="S9" s="1475">
        <f t="shared" si="0"/>
        <v>100</v>
      </c>
      <c r="T9" s="1474" t="s">
        <v>8</v>
      </c>
      <c r="U9" s="1475">
        <f t="shared" si="1"/>
        <v>100</v>
      </c>
      <c r="V9" s="1474" t="s">
        <v>8</v>
      </c>
      <c r="W9" s="1475">
        <f t="shared" si="2"/>
        <v>100</v>
      </c>
      <c r="X9" s="1476"/>
      <c r="Y9" s="3112"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66"/>
      <c r="Q11" s="852" t="str">
        <f t="shared" si="6"/>
        <v>容积率</v>
      </c>
      <c r="R11" s="1474" t="s">
        <v>11</v>
      </c>
      <c r="S11" s="1475" t="e">
        <f t="shared" si="0"/>
        <v>#N/A</v>
      </c>
      <c r="T11" s="1474" t="s">
        <v>11</v>
      </c>
      <c r="U11" s="1475" t="e">
        <f t="shared" si="1"/>
        <v>#N/A</v>
      </c>
      <c r="V11" s="1474" t="s">
        <v>11</v>
      </c>
      <c r="W11" s="1475" t="e">
        <f t="shared" si="2"/>
        <v>#N/A</v>
      </c>
      <c r="X11" s="1476"/>
      <c r="Y11" s="3112"/>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66"/>
      <c r="Q12" s="852">
        <f t="shared" si="6"/>
        <v>111</v>
      </c>
      <c r="R12" s="1474" t="s">
        <v>11</v>
      </c>
      <c r="S12" s="1475">
        <f t="shared" si="0"/>
        <v>100</v>
      </c>
      <c r="T12" s="1474" t="s">
        <v>11</v>
      </c>
      <c r="U12" s="1475">
        <f t="shared" si="1"/>
        <v>100</v>
      </c>
      <c r="V12" s="1474" t="s">
        <v>11</v>
      </c>
      <c r="W12" s="1475">
        <f t="shared" si="2"/>
        <v>100</v>
      </c>
      <c r="X12" s="1476"/>
      <c r="Y12" s="3112"/>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66"/>
      <c r="Q13" s="852">
        <f t="shared" si="6"/>
        <v>111</v>
      </c>
      <c r="R13" s="1474" t="s">
        <v>11</v>
      </c>
      <c r="S13" s="1475">
        <f t="shared" si="0"/>
        <v>100</v>
      </c>
      <c r="T13" s="1474" t="s">
        <v>11</v>
      </c>
      <c r="U13" s="1475">
        <f t="shared" si="1"/>
        <v>100</v>
      </c>
      <c r="V13" s="1474" t="s">
        <v>11</v>
      </c>
      <c r="W13" s="1475">
        <f t="shared" si="2"/>
        <v>100</v>
      </c>
      <c r="X13" s="1476"/>
      <c r="Y13" s="3112"/>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66"/>
      <c r="Q14" s="852">
        <f t="shared" si="6"/>
        <v>111</v>
      </c>
      <c r="R14" s="1474" t="s">
        <v>11</v>
      </c>
      <c r="S14" s="1475">
        <f t="shared" si="0"/>
        <v>100</v>
      </c>
      <c r="T14" s="1474" t="s">
        <v>11</v>
      </c>
      <c r="U14" s="1475">
        <f t="shared" si="1"/>
        <v>100</v>
      </c>
      <c r="V14" s="1474" t="s">
        <v>11</v>
      </c>
      <c r="W14" s="1475">
        <f t="shared" si="2"/>
        <v>100</v>
      </c>
      <c r="X14" s="1476"/>
      <c r="Y14" s="3112"/>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200" t="s">
        <v>540</v>
      </c>
      <c r="Q15" s="1477" t="str">
        <f t="shared" si="6"/>
        <v>居住社区成熟度</v>
      </c>
      <c r="R15" s="1478" t="s">
        <v>11</v>
      </c>
      <c r="S15" s="1479">
        <f t="shared" si="0"/>
        <v>100</v>
      </c>
      <c r="T15" s="1478" t="s">
        <v>11</v>
      </c>
      <c r="U15" s="1479">
        <f t="shared" si="1"/>
        <v>100</v>
      </c>
      <c r="V15" s="1478" t="s">
        <v>11</v>
      </c>
      <c r="W15" s="1479">
        <f t="shared" si="2"/>
        <v>100</v>
      </c>
      <c r="X15" s="1473"/>
      <c r="Y15" s="3200"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201"/>
      <c r="Q16" s="1477"/>
      <c r="R16" s="1478"/>
      <c r="S16" s="1479"/>
      <c r="T16" s="1478"/>
      <c r="U16" s="1479"/>
      <c r="V16" s="1478"/>
      <c r="W16" s="1479"/>
      <c r="X16" s="1473"/>
      <c r="Y16" s="320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201"/>
      <c r="Q17" s="1477" t="str">
        <f>B17</f>
        <v>交通便捷度</v>
      </c>
      <c r="R17" s="1478" t="s">
        <v>11</v>
      </c>
      <c r="S17" s="1479">
        <f>F17</f>
        <v>100</v>
      </c>
      <c r="T17" s="1478" t="s">
        <v>11</v>
      </c>
      <c r="U17" s="1479">
        <f>H17</f>
        <v>100</v>
      </c>
      <c r="V17" s="1478" t="s">
        <v>11</v>
      </c>
      <c r="W17" s="1479">
        <f>J17</f>
        <v>100</v>
      </c>
      <c r="X17" s="1473"/>
      <c r="Y17" s="320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201"/>
      <c r="Q18" s="1477"/>
      <c r="R18" s="1478"/>
      <c r="S18" s="1479"/>
      <c r="T18" s="1478"/>
      <c r="U18" s="1479"/>
      <c r="V18" s="1478"/>
      <c r="W18" s="1479"/>
      <c r="X18" s="1473"/>
      <c r="Y18" s="320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201"/>
      <c r="Q19" s="1477" t="str">
        <f>B19</f>
        <v>公共配套设施</v>
      </c>
      <c r="R19" s="1478" t="s">
        <v>11</v>
      </c>
      <c r="S19" s="1479">
        <f>F19</f>
        <v>100</v>
      </c>
      <c r="T19" s="1478" t="s">
        <v>11</v>
      </c>
      <c r="U19" s="1479">
        <f>H19</f>
        <v>100</v>
      </c>
      <c r="V19" s="1478" t="s">
        <v>11</v>
      </c>
      <c r="W19" s="1479">
        <f>J19</f>
        <v>100</v>
      </c>
      <c r="X19" s="1473"/>
      <c r="Y19" s="320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201"/>
      <c r="Q20" s="1477"/>
      <c r="R20" s="1478"/>
      <c r="S20" s="1479"/>
      <c r="T20" s="1478"/>
      <c r="U20" s="1479"/>
      <c r="V20" s="1478"/>
      <c r="W20" s="1479"/>
      <c r="X20" s="1473"/>
      <c r="Y20" s="320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201"/>
      <c r="Q21" s="1477" t="str">
        <f>B21</f>
        <v>基础设施水平</v>
      </c>
      <c r="R21" s="1478" t="s">
        <v>11</v>
      </c>
      <c r="S21" s="1479">
        <f>F21</f>
        <v>100</v>
      </c>
      <c r="T21" s="1478" t="s">
        <v>11</v>
      </c>
      <c r="U21" s="1479">
        <f>H21</f>
        <v>100</v>
      </c>
      <c r="V21" s="1478" t="s">
        <v>11</v>
      </c>
      <c r="W21" s="1479">
        <f>J21</f>
        <v>100</v>
      </c>
      <c r="X21" s="1473"/>
      <c r="Y21" s="320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201"/>
      <c r="Q22" s="1477"/>
      <c r="R22" s="1478"/>
      <c r="S22" s="1479"/>
      <c r="T22" s="1478"/>
      <c r="U22" s="1479"/>
      <c r="V22" s="1478"/>
      <c r="W22" s="1479"/>
      <c r="X22" s="1473"/>
      <c r="Y22" s="3201"/>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201"/>
      <c r="Q23" s="1477" t="str">
        <f>B23</f>
        <v>自然及人文环境</v>
      </c>
      <c r="R23" s="1478" t="s">
        <v>11</v>
      </c>
      <c r="S23" s="1479">
        <f>F23</f>
        <v>100</v>
      </c>
      <c r="T23" s="1478" t="s">
        <v>11</v>
      </c>
      <c r="U23" s="1479">
        <f>H23</f>
        <v>100</v>
      </c>
      <c r="V23" s="1478" t="s">
        <v>11</v>
      </c>
      <c r="W23" s="1479">
        <f>J23</f>
        <v>100</v>
      </c>
      <c r="X23" s="1473"/>
      <c r="Y23" s="320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201"/>
      <c r="Q24" s="1477"/>
      <c r="R24" s="1478"/>
      <c r="S24" s="1479"/>
      <c r="T24" s="1478"/>
      <c r="U24" s="1479"/>
      <c r="V24" s="1478"/>
      <c r="W24" s="1479"/>
      <c r="X24" s="1473"/>
      <c r="Y24" s="3201"/>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201"/>
      <c r="Q25" s="1477" t="str">
        <f t="shared" ref="Q25:Q46" si="11">B25</f>
        <v>楼层-1</v>
      </c>
      <c r="R25" s="1478" t="s">
        <v>11</v>
      </c>
      <c r="S25" s="1479">
        <f>F25</f>
        <v>100</v>
      </c>
      <c r="T25" s="1478" t="s">
        <v>11</v>
      </c>
      <c r="U25" s="1479">
        <f>H25</f>
        <v>100</v>
      </c>
      <c r="V25" s="1478" t="s">
        <v>11</v>
      </c>
      <c r="W25" s="1479">
        <f>J25</f>
        <v>100</v>
      </c>
      <c r="X25" s="1473"/>
      <c r="Y25" s="3201"/>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201"/>
      <c r="Q26" s="1477" t="str">
        <f t="shared" si="11"/>
        <v>朝向</v>
      </c>
      <c r="R26" s="1478" t="s">
        <v>11</v>
      </c>
      <c r="S26" s="1479">
        <f>F26</f>
        <v>100</v>
      </c>
      <c r="T26" s="1478" t="s">
        <v>11</v>
      </c>
      <c r="U26" s="1479">
        <f>H26</f>
        <v>100</v>
      </c>
      <c r="V26" s="1478" t="s">
        <v>11</v>
      </c>
      <c r="W26" s="1479">
        <f>J26</f>
        <v>100</v>
      </c>
      <c r="X26" s="1473"/>
      <c r="Y26" s="3201"/>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201"/>
      <c r="Q27" s="852" t="str">
        <f t="shared" si="11"/>
        <v>道路级别</v>
      </c>
      <c r="R27" s="1474" t="s">
        <v>11</v>
      </c>
      <c r="S27" s="1475">
        <f>F27</f>
        <v>100</v>
      </c>
      <c r="T27" s="1474" t="s">
        <v>11</v>
      </c>
      <c r="U27" s="1475">
        <f>H27</f>
        <v>100</v>
      </c>
      <c r="V27" s="1474" t="s">
        <v>11</v>
      </c>
      <c r="W27" s="1475">
        <f>J27</f>
        <v>100</v>
      </c>
      <c r="X27" s="1476"/>
      <c r="Y27" s="3201"/>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201"/>
      <c r="Q28" s="1477">
        <f t="shared" si="11"/>
        <v>111</v>
      </c>
      <c r="R28" s="1478" t="s">
        <v>11</v>
      </c>
      <c r="S28" s="1479">
        <f t="shared" ref="S28:S46" si="12">F28</f>
        <v>100</v>
      </c>
      <c r="T28" s="1478" t="s">
        <v>11</v>
      </c>
      <c r="U28" s="1479">
        <f t="shared" ref="U28:U46" si="13">H28</f>
        <v>100</v>
      </c>
      <c r="V28" s="1478" t="s">
        <v>11</v>
      </c>
      <c r="W28" s="1479">
        <f t="shared" ref="W28:W46" si="14">J28</f>
        <v>100</v>
      </c>
      <c r="X28" s="1473"/>
      <c r="Y28" s="3201"/>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201"/>
      <c r="Q29" s="1477">
        <f t="shared" si="11"/>
        <v>111</v>
      </c>
      <c r="R29" s="1478" t="s">
        <v>11</v>
      </c>
      <c r="S29" s="1479">
        <f t="shared" si="12"/>
        <v>100</v>
      </c>
      <c r="T29" s="1478" t="s">
        <v>11</v>
      </c>
      <c r="U29" s="1479">
        <f t="shared" si="13"/>
        <v>100</v>
      </c>
      <c r="V29" s="1478" t="s">
        <v>11</v>
      </c>
      <c r="W29" s="1479">
        <f t="shared" si="14"/>
        <v>100</v>
      </c>
      <c r="X29" s="1473"/>
      <c r="Y29" s="320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201"/>
      <c r="Q30" s="1477">
        <f t="shared" si="11"/>
        <v>111</v>
      </c>
      <c r="R30" s="1478" t="s">
        <v>11</v>
      </c>
      <c r="S30" s="1479">
        <f t="shared" si="12"/>
        <v>100</v>
      </c>
      <c r="T30" s="1478" t="s">
        <v>11</v>
      </c>
      <c r="U30" s="1479">
        <f t="shared" si="13"/>
        <v>100</v>
      </c>
      <c r="V30" s="1478" t="s">
        <v>11</v>
      </c>
      <c r="W30" s="1479">
        <f t="shared" si="14"/>
        <v>100</v>
      </c>
      <c r="X30" s="1473"/>
      <c r="Y30" s="3201"/>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201"/>
      <c r="Q31" s="1477">
        <f t="shared" si="11"/>
        <v>111</v>
      </c>
      <c r="R31" s="1478" t="s">
        <v>11</v>
      </c>
      <c r="S31" s="1479">
        <f t="shared" si="12"/>
        <v>100</v>
      </c>
      <c r="T31" s="1478" t="s">
        <v>11</v>
      </c>
      <c r="U31" s="1479">
        <f t="shared" si="13"/>
        <v>100</v>
      </c>
      <c r="V31" s="1478" t="s">
        <v>11</v>
      </c>
      <c r="W31" s="1479">
        <f t="shared" si="14"/>
        <v>100</v>
      </c>
      <c r="X31" s="1473"/>
      <c r="Y31" s="3201"/>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202" t="s">
        <v>550</v>
      </c>
      <c r="Q32" s="1477" t="str">
        <f t="shared" si="11"/>
        <v>建筑类型</v>
      </c>
      <c r="R32" s="1478" t="s">
        <v>11</v>
      </c>
      <c r="S32" s="1479">
        <f t="shared" si="12"/>
        <v>100</v>
      </c>
      <c r="T32" s="1478" t="s">
        <v>11</v>
      </c>
      <c r="U32" s="1479">
        <f t="shared" si="13"/>
        <v>100</v>
      </c>
      <c r="V32" s="1478" t="s">
        <v>11</v>
      </c>
      <c r="W32" s="1479">
        <f t="shared" si="14"/>
        <v>100</v>
      </c>
      <c r="X32" s="1473"/>
      <c r="Y32" s="3203"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203"/>
      <c r="Q33" s="853" t="str">
        <f t="shared" si="11"/>
        <v>项目建筑规模</v>
      </c>
      <c r="R33" s="1481" t="s">
        <v>11</v>
      </c>
      <c r="S33" s="1482" t="e">
        <f t="shared" si="12"/>
        <v>#N/A</v>
      </c>
      <c r="T33" s="1481" t="s">
        <v>11</v>
      </c>
      <c r="U33" s="1482" t="e">
        <f t="shared" si="13"/>
        <v>#N/A</v>
      </c>
      <c r="V33" s="1481" t="s">
        <v>11</v>
      </c>
      <c r="W33" s="1482" t="e">
        <f t="shared" si="14"/>
        <v>#N/A</v>
      </c>
      <c r="X33" s="1483"/>
      <c r="Y33" s="320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203"/>
      <c r="Q34" s="1477" t="str">
        <f t="shared" si="11"/>
        <v>建筑结构</v>
      </c>
      <c r="R34" s="1478" t="s">
        <v>11</v>
      </c>
      <c r="S34" s="1479">
        <f t="shared" si="12"/>
        <v>100</v>
      </c>
      <c r="T34" s="1478" t="s">
        <v>11</v>
      </c>
      <c r="U34" s="1479">
        <f t="shared" si="13"/>
        <v>100</v>
      </c>
      <c r="V34" s="1478" t="s">
        <v>11</v>
      </c>
      <c r="W34" s="1479">
        <f t="shared" si="14"/>
        <v>100</v>
      </c>
      <c r="X34" s="1473"/>
      <c r="Y34" s="3203"/>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203"/>
      <c r="Q35" s="1477" t="str">
        <f t="shared" si="11"/>
        <v>建筑品质</v>
      </c>
      <c r="R35" s="1478" t="s">
        <v>11</v>
      </c>
      <c r="S35" s="1479">
        <f t="shared" si="12"/>
        <v>100</v>
      </c>
      <c r="T35" s="1478" t="s">
        <v>11</v>
      </c>
      <c r="U35" s="1479">
        <f t="shared" si="13"/>
        <v>100</v>
      </c>
      <c r="V35" s="1478" t="s">
        <v>11</v>
      </c>
      <c r="W35" s="1479">
        <f t="shared" si="14"/>
        <v>100</v>
      </c>
      <c r="X35" s="1473"/>
      <c r="Y35" s="3203"/>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203"/>
      <c r="Q36" s="1477" t="str">
        <f t="shared" si="11"/>
        <v>公共部分装修</v>
      </c>
      <c r="R36" s="1478" t="s">
        <v>11</v>
      </c>
      <c r="S36" s="1479">
        <f t="shared" si="12"/>
        <v>100</v>
      </c>
      <c r="T36" s="1478" t="s">
        <v>11</v>
      </c>
      <c r="U36" s="1479">
        <f t="shared" si="13"/>
        <v>100</v>
      </c>
      <c r="V36" s="1478" t="s">
        <v>11</v>
      </c>
      <c r="W36" s="1479">
        <f t="shared" si="14"/>
        <v>100</v>
      </c>
      <c r="X36" s="1473"/>
      <c r="Y36" s="3203"/>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203"/>
      <c r="Q37" s="852" t="str">
        <f t="shared" si="11"/>
        <v>成新度</v>
      </c>
      <c r="R37" s="1474" t="s">
        <v>11</v>
      </c>
      <c r="S37" s="1475" t="e">
        <f t="shared" si="12"/>
        <v>#N/A</v>
      </c>
      <c r="T37" s="1474" t="s">
        <v>11</v>
      </c>
      <c r="U37" s="1475" t="e">
        <f t="shared" si="13"/>
        <v>#N/A</v>
      </c>
      <c r="V37" s="1474" t="s">
        <v>11</v>
      </c>
      <c r="W37" s="1475" t="e">
        <f t="shared" si="14"/>
        <v>#N/A</v>
      </c>
      <c r="X37" s="1476"/>
      <c r="Y37" s="3203"/>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203" t="s">
        <v>550</v>
      </c>
      <c r="Q38" s="1477" t="str">
        <f t="shared" si="11"/>
        <v>物业管理</v>
      </c>
      <c r="R38" s="1478" t="s">
        <v>11</v>
      </c>
      <c r="S38" s="1479">
        <f t="shared" si="12"/>
        <v>100</v>
      </c>
      <c r="T38" s="1478" t="s">
        <v>11</v>
      </c>
      <c r="U38" s="1479">
        <f t="shared" si="13"/>
        <v>100</v>
      </c>
      <c r="V38" s="1478" t="s">
        <v>11</v>
      </c>
      <c r="W38" s="1479">
        <f t="shared" si="14"/>
        <v>100</v>
      </c>
      <c r="X38" s="1473"/>
      <c r="Y38" s="3203"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203"/>
      <c r="Q39" s="1477" t="str">
        <f t="shared" si="11"/>
        <v>市政基础设施</v>
      </c>
      <c r="R39" s="1478" t="s">
        <v>11</v>
      </c>
      <c r="S39" s="1479">
        <f t="shared" si="12"/>
        <v>100</v>
      </c>
      <c r="T39" s="1478" t="s">
        <v>11</v>
      </c>
      <c r="U39" s="1479">
        <f t="shared" si="13"/>
        <v>100</v>
      </c>
      <c r="V39" s="1478" t="s">
        <v>11</v>
      </c>
      <c r="W39" s="1479">
        <f t="shared" si="14"/>
        <v>100</v>
      </c>
      <c r="X39" s="1473"/>
      <c r="Y39" s="3203"/>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203"/>
      <c r="Q40" s="1477" t="str">
        <f t="shared" si="11"/>
        <v>房型</v>
      </c>
      <c r="R40" s="1478" t="s">
        <v>11</v>
      </c>
      <c r="S40" s="1479">
        <f t="shared" si="12"/>
        <v>100</v>
      </c>
      <c r="T40" s="1478" t="s">
        <v>11</v>
      </c>
      <c r="U40" s="1479">
        <f t="shared" si="13"/>
        <v>100</v>
      </c>
      <c r="V40" s="1478" t="s">
        <v>11</v>
      </c>
      <c r="W40" s="1479">
        <f t="shared" si="14"/>
        <v>100</v>
      </c>
      <c r="X40" s="1473"/>
      <c r="Y40" s="3203"/>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203"/>
      <c r="Q41" s="853" t="str">
        <f t="shared" si="11"/>
        <v>单套/主力户型建筑面积</v>
      </c>
      <c r="R41" s="1481" t="s">
        <v>11</v>
      </c>
      <c r="S41" s="1482">
        <f t="shared" si="12"/>
        <v>100</v>
      </c>
      <c r="T41" s="1481" t="s">
        <v>11</v>
      </c>
      <c r="U41" s="1482">
        <f t="shared" si="13"/>
        <v>100</v>
      </c>
      <c r="V41" s="1481" t="s">
        <v>11</v>
      </c>
      <c r="W41" s="1482">
        <f t="shared" si="14"/>
        <v>100</v>
      </c>
      <c r="X41" s="1483"/>
      <c r="Y41" s="3203"/>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203"/>
      <c r="Q42" s="1477" t="str">
        <f t="shared" si="11"/>
        <v>内部装修</v>
      </c>
      <c r="R42" s="1478" t="s">
        <v>11</v>
      </c>
      <c r="S42" s="1479">
        <f t="shared" si="12"/>
        <v>100</v>
      </c>
      <c r="T42" s="1478" t="s">
        <v>11</v>
      </c>
      <c r="U42" s="1479">
        <f t="shared" si="13"/>
        <v>100</v>
      </c>
      <c r="V42" s="1478" t="s">
        <v>11</v>
      </c>
      <c r="W42" s="1479">
        <f t="shared" si="14"/>
        <v>100</v>
      </c>
      <c r="X42" s="1473"/>
      <c r="Y42" s="3203"/>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203"/>
      <c r="Q43" s="1477" t="str">
        <f t="shared" si="11"/>
        <v>内部装修维护情况</v>
      </c>
      <c r="R43" s="1478" t="s">
        <v>11</v>
      </c>
      <c r="S43" s="1479">
        <f t="shared" si="12"/>
        <v>100</v>
      </c>
      <c r="T43" s="1478" t="s">
        <v>11</v>
      </c>
      <c r="U43" s="1479">
        <f t="shared" si="13"/>
        <v>100</v>
      </c>
      <c r="V43" s="1478" t="s">
        <v>11</v>
      </c>
      <c r="W43" s="1479">
        <f t="shared" si="14"/>
        <v>100</v>
      </c>
      <c r="X43" s="1473"/>
      <c r="Y43" s="320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203"/>
      <c r="Q44" s="852">
        <f t="shared" si="11"/>
        <v>111</v>
      </c>
      <c r="R44" s="1474" t="s">
        <v>11</v>
      </c>
      <c r="S44" s="1475">
        <f t="shared" si="12"/>
        <v>100</v>
      </c>
      <c r="T44" s="1474" t="s">
        <v>11</v>
      </c>
      <c r="U44" s="1475">
        <f t="shared" si="13"/>
        <v>100</v>
      </c>
      <c r="V44" s="1474" t="s">
        <v>11</v>
      </c>
      <c r="W44" s="1475">
        <f t="shared" si="14"/>
        <v>100</v>
      </c>
      <c r="X44" s="1476"/>
      <c r="Y44" s="320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203"/>
      <c r="Q45" s="1477">
        <f t="shared" si="11"/>
        <v>111</v>
      </c>
      <c r="R45" s="1478" t="s">
        <v>11</v>
      </c>
      <c r="S45" s="1479">
        <f t="shared" si="12"/>
        <v>100</v>
      </c>
      <c r="T45" s="1478" t="s">
        <v>11</v>
      </c>
      <c r="U45" s="1479">
        <f t="shared" si="13"/>
        <v>100</v>
      </c>
      <c r="V45" s="1478" t="s">
        <v>11</v>
      </c>
      <c r="W45" s="1479">
        <f t="shared" si="14"/>
        <v>100</v>
      </c>
      <c r="X45" s="1473"/>
      <c r="Y45" s="3203"/>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83"/>
      <c r="Q46" s="1477">
        <f t="shared" si="11"/>
        <v>111</v>
      </c>
      <c r="R46" s="1478" t="s">
        <v>10</v>
      </c>
      <c r="S46" s="1479">
        <f t="shared" si="12"/>
        <v>100</v>
      </c>
      <c r="T46" s="1478" t="s">
        <v>10</v>
      </c>
      <c r="U46" s="1479">
        <f t="shared" si="13"/>
        <v>100</v>
      </c>
      <c r="V46" s="1478" t="s">
        <v>10</v>
      </c>
      <c r="W46" s="1479">
        <f t="shared" si="14"/>
        <v>100</v>
      </c>
      <c r="X46" s="1473"/>
      <c r="Y46" s="3283"/>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66" t="str">
        <f>A47</f>
        <v>成交单价（元/平方米）</v>
      </c>
      <c r="Q47" s="3166"/>
      <c r="R47" s="3167">
        <f>E47</f>
        <v>0</v>
      </c>
      <c r="S47" s="3167"/>
      <c r="T47" s="3167">
        <f>G47</f>
        <v>0</v>
      </c>
      <c r="U47" s="3167"/>
      <c r="V47" s="3167">
        <f>I47</f>
        <v>0</v>
      </c>
      <c r="W47" s="3167"/>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66" t="str">
        <f>A48</f>
        <v>比较价格（元/平方米）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833"/>
      <c r="Y48" s="833"/>
      <c r="Z48" s="833"/>
      <c r="AA48" s="833"/>
      <c r="AB48" s="833"/>
      <c r="AC48" s="833"/>
    </row>
    <row r="49" spans="1:29" ht="15.75" thickBot="1">
      <c r="A49" s="597" t="s">
        <v>2933</v>
      </c>
      <c r="B49" s="598"/>
      <c r="C49" s="496" t="e">
        <f>R49</f>
        <v>#DIV/0!</v>
      </c>
      <c r="D49" s="496"/>
      <c r="E49" s="496"/>
      <c r="F49" s="496"/>
      <c r="G49" s="496"/>
      <c r="H49" s="496"/>
      <c r="I49" s="496"/>
      <c r="J49" s="496"/>
      <c r="K49" s="1507"/>
      <c r="L49" s="1995"/>
      <c r="M49" s="1986"/>
      <c r="N49" s="1986"/>
      <c r="O49" s="1986"/>
      <c r="P49" s="3163" t="str">
        <f>A49</f>
        <v>估价对象XX用房的比较价格（楼面单价，元/平方米）</v>
      </c>
      <c r="Q49" s="3164"/>
      <c r="R49" s="3282" t="e">
        <f>IF(F1="售价",ROUND(AVERAGE(R48:V48),0),ROUND(AVERAGE(R48:V48),1))</f>
        <v>#DIV/0!</v>
      </c>
      <c r="S49" s="3282"/>
      <c r="T49" s="3282"/>
      <c r="U49" s="3282"/>
      <c r="V49" s="3282"/>
      <c r="W49" s="3282"/>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72" t="s">
        <v>522</v>
      </c>
      <c r="D4" s="3173"/>
      <c r="E4" s="3206" t="s">
        <v>523</v>
      </c>
      <c r="F4" s="3207"/>
      <c r="G4" s="3172" t="s">
        <v>524</v>
      </c>
      <c r="H4" s="3173"/>
      <c r="I4" s="3172" t="s">
        <v>525</v>
      </c>
      <c r="J4" s="3173"/>
      <c r="K4" s="492" t="s">
        <v>526</v>
      </c>
      <c r="L4" s="1985"/>
      <c r="M4" s="1986"/>
      <c r="N4" s="1986"/>
      <c r="O4" s="1986"/>
      <c r="P4" s="3174" t="s">
        <v>527</v>
      </c>
      <c r="Q4" s="3175"/>
      <c r="R4" s="3180" t="s">
        <v>523</v>
      </c>
      <c r="S4" s="3181"/>
      <c r="T4" s="3180" t="s">
        <v>524</v>
      </c>
      <c r="U4" s="3181"/>
      <c r="V4" s="3167" t="s">
        <v>525</v>
      </c>
      <c r="W4" s="3167"/>
      <c r="X4" s="1473"/>
      <c r="Y4" s="3180" t="s">
        <v>527</v>
      </c>
      <c r="Z4" s="3181"/>
      <c r="AA4" s="3169" t="s">
        <v>523</v>
      </c>
      <c r="AB4" s="3167" t="s">
        <v>524</v>
      </c>
      <c r="AC4" s="3169" t="s">
        <v>525</v>
      </c>
    </row>
    <row r="5" spans="1:29" ht="15">
      <c r="A5" s="493"/>
      <c r="B5" s="494"/>
      <c r="C5" s="3188" t="s">
        <v>2927</v>
      </c>
      <c r="D5" s="3189"/>
      <c r="E5" s="3208" t="s">
        <v>2928</v>
      </c>
      <c r="F5" s="3209"/>
      <c r="G5" s="3188" t="s">
        <v>2929</v>
      </c>
      <c r="H5" s="3189"/>
      <c r="I5" s="3188" t="s">
        <v>2930</v>
      </c>
      <c r="J5" s="3189"/>
      <c r="K5" s="492"/>
      <c r="L5" s="1985"/>
      <c r="M5" s="1986"/>
      <c r="N5" s="1986"/>
      <c r="O5" s="1986"/>
      <c r="P5" s="3176"/>
      <c r="Q5" s="3177"/>
      <c r="R5" s="3182"/>
      <c r="S5" s="3183"/>
      <c r="T5" s="3182"/>
      <c r="U5" s="3183"/>
      <c r="V5" s="3167"/>
      <c r="W5" s="3167"/>
      <c r="X5" s="1473"/>
      <c r="Y5" s="3182"/>
      <c r="Z5" s="3183"/>
      <c r="AA5" s="3170"/>
      <c r="AB5" s="3167"/>
      <c r="AC5" s="3170"/>
    </row>
    <row r="6" spans="1:29" ht="15.75" thickBot="1">
      <c r="A6" s="495"/>
      <c r="B6" s="496"/>
      <c r="C6" s="3186" t="s">
        <v>2931</v>
      </c>
      <c r="D6" s="3187"/>
      <c r="E6" s="3204" t="s">
        <v>2931</v>
      </c>
      <c r="F6" s="3205"/>
      <c r="G6" s="3186" t="s">
        <v>2931</v>
      </c>
      <c r="H6" s="3187"/>
      <c r="I6" s="3186" t="s">
        <v>2931</v>
      </c>
      <c r="J6" s="3187"/>
      <c r="K6" s="492" t="s">
        <v>528</v>
      </c>
      <c r="L6" s="1985"/>
      <c r="M6" s="1986"/>
      <c r="N6" s="1986"/>
      <c r="O6" s="1986"/>
      <c r="P6" s="3178"/>
      <c r="Q6" s="3179"/>
      <c r="R6" s="3182"/>
      <c r="S6" s="3183"/>
      <c r="T6" s="3184"/>
      <c r="U6" s="3185"/>
      <c r="V6" s="3167"/>
      <c r="W6" s="3167"/>
      <c r="X6" s="1473"/>
      <c r="Y6" s="3184"/>
      <c r="Z6" s="3185"/>
      <c r="AA6" s="3171"/>
      <c r="AB6" s="3167"/>
      <c r="AC6" s="3171"/>
    </row>
    <row r="7" spans="1:29" s="1155" customFormat="1" ht="15.75" thickBot="1">
      <c r="A7" s="2646"/>
      <c r="B7" s="2653" t="s">
        <v>529</v>
      </c>
      <c r="C7" s="497">
        <f>'数据-取费表'!B2</f>
        <v>45344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97" t="s">
        <v>530</v>
      </c>
      <c r="Q7" s="3199"/>
      <c r="R7" s="1474" t="s">
        <v>8</v>
      </c>
      <c r="S7" s="1475">
        <f t="shared" ref="S7:S15" si="0">F7</f>
        <v>0</v>
      </c>
      <c r="T7" s="1474" t="s">
        <v>8</v>
      </c>
      <c r="U7" s="1475">
        <f t="shared" ref="U7:U15" si="1">H7</f>
        <v>0</v>
      </c>
      <c r="V7" s="1474" t="s">
        <v>8</v>
      </c>
      <c r="W7" s="1475">
        <f t="shared" ref="W7:W15"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97" t="s">
        <v>533</v>
      </c>
      <c r="Q8" s="3198"/>
      <c r="R8" s="1474" t="s">
        <v>8</v>
      </c>
      <c r="S8" s="1475">
        <f t="shared" si="0"/>
        <v>0</v>
      </c>
      <c r="T8" s="1474" t="s">
        <v>8</v>
      </c>
      <c r="U8" s="1475">
        <f t="shared" si="1"/>
        <v>0</v>
      </c>
      <c r="V8" s="1474" t="s">
        <v>8</v>
      </c>
      <c r="W8" s="1475">
        <f t="shared" si="2"/>
        <v>0</v>
      </c>
      <c r="X8" s="1476"/>
      <c r="Y8" s="3197" t="s">
        <v>533</v>
      </c>
      <c r="Z8" s="3198"/>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66" t="s">
        <v>535</v>
      </c>
      <c r="Q9" s="852" t="str">
        <f t="shared" ref="Q9:Q15" si="6">B9</f>
        <v>用途</v>
      </c>
      <c r="R9" s="1474" t="s">
        <v>8</v>
      </c>
      <c r="S9" s="1475">
        <f t="shared" si="0"/>
        <v>100</v>
      </c>
      <c r="T9" s="1474" t="s">
        <v>8</v>
      </c>
      <c r="U9" s="1475">
        <f t="shared" si="1"/>
        <v>100</v>
      </c>
      <c r="V9" s="1474" t="s">
        <v>8</v>
      </c>
      <c r="W9" s="1475">
        <f t="shared" si="2"/>
        <v>100</v>
      </c>
      <c r="X9" s="1476"/>
      <c r="Y9" s="3112"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66"/>
      <c r="Q11" s="852" t="str">
        <f t="shared" si="6"/>
        <v>容积率</v>
      </c>
      <c r="R11" s="1474" t="s">
        <v>8</v>
      </c>
      <c r="S11" s="1475" t="e">
        <f t="shared" si="0"/>
        <v>#N/A</v>
      </c>
      <c r="T11" s="1474" t="s">
        <v>8</v>
      </c>
      <c r="U11" s="1475" t="e">
        <f t="shared" si="1"/>
        <v>#N/A</v>
      </c>
      <c r="V11" s="1474" t="s">
        <v>8</v>
      </c>
      <c r="W11" s="1475" t="e">
        <f t="shared" si="2"/>
        <v>#N/A</v>
      </c>
      <c r="X11" s="1476"/>
      <c r="Y11" s="3112"/>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66"/>
      <c r="Q14" s="852">
        <f t="shared" si="6"/>
        <v>111</v>
      </c>
      <c r="R14" s="1474" t="s">
        <v>8</v>
      </c>
      <c r="S14" s="1475">
        <f t="shared" si="0"/>
        <v>100</v>
      </c>
      <c r="T14" s="1474" t="s">
        <v>8</v>
      </c>
      <c r="U14" s="1475">
        <f t="shared" si="1"/>
        <v>100</v>
      </c>
      <c r="V14" s="1474" t="s">
        <v>8</v>
      </c>
      <c r="W14" s="1475">
        <f t="shared" si="2"/>
        <v>100</v>
      </c>
      <c r="X14" s="1476"/>
      <c r="Y14" s="3112"/>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200" t="s">
        <v>540</v>
      </c>
      <c r="Q15" s="1477" t="str">
        <f t="shared" si="6"/>
        <v>商业繁华度</v>
      </c>
      <c r="R15" s="1478" t="s">
        <v>8</v>
      </c>
      <c r="S15" s="1479">
        <f t="shared" si="0"/>
        <v>100</v>
      </c>
      <c r="T15" s="1478" t="s">
        <v>8</v>
      </c>
      <c r="U15" s="1479">
        <f t="shared" si="1"/>
        <v>100</v>
      </c>
      <c r="V15" s="1478" t="s">
        <v>8</v>
      </c>
      <c r="W15" s="1479">
        <f t="shared" si="2"/>
        <v>100</v>
      </c>
      <c r="X15" s="1473"/>
      <c r="Y15" s="3200"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1"/>
      <c r="Q16" s="1477"/>
      <c r="R16" s="1478"/>
      <c r="S16" s="1479"/>
      <c r="T16" s="1478"/>
      <c r="U16" s="1479"/>
      <c r="V16" s="1478"/>
      <c r="W16" s="1479"/>
      <c r="X16" s="1473"/>
      <c r="Y16" s="320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201"/>
      <c r="Q17" s="1477" t="str">
        <f>B17</f>
        <v>交通便捷度</v>
      </c>
      <c r="R17" s="1478" t="s">
        <v>8</v>
      </c>
      <c r="S17" s="1479">
        <f>F17</f>
        <v>100</v>
      </c>
      <c r="T17" s="1478" t="s">
        <v>8</v>
      </c>
      <c r="U17" s="1479">
        <f>H17</f>
        <v>100</v>
      </c>
      <c r="V17" s="1478" t="s">
        <v>8</v>
      </c>
      <c r="W17" s="1479">
        <f>J17</f>
        <v>100</v>
      </c>
      <c r="X17" s="1473"/>
      <c r="Y17" s="320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1"/>
      <c r="Q18" s="1477"/>
      <c r="R18" s="1478"/>
      <c r="S18" s="1479"/>
      <c r="T18" s="1478"/>
      <c r="U18" s="1479"/>
      <c r="V18" s="1478"/>
      <c r="W18" s="1479"/>
      <c r="X18" s="1473"/>
      <c r="Y18" s="320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201"/>
      <c r="Q19" s="1477" t="str">
        <f>B19</f>
        <v>公共配套设施</v>
      </c>
      <c r="R19" s="1478" t="s">
        <v>8</v>
      </c>
      <c r="S19" s="1479">
        <f>F19</f>
        <v>100</v>
      </c>
      <c r="T19" s="1478" t="s">
        <v>8</v>
      </c>
      <c r="U19" s="1479">
        <f>H19</f>
        <v>100</v>
      </c>
      <c r="V19" s="1478" t="s">
        <v>8</v>
      </c>
      <c r="W19" s="1479">
        <f>J19</f>
        <v>100</v>
      </c>
      <c r="X19" s="1473"/>
      <c r="Y19" s="320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201"/>
      <c r="Q20" s="1477"/>
      <c r="R20" s="1478"/>
      <c r="S20" s="1479"/>
      <c r="T20" s="1478"/>
      <c r="U20" s="1479"/>
      <c r="V20" s="1478"/>
      <c r="W20" s="1479"/>
      <c r="X20" s="1473"/>
      <c r="Y20" s="320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201"/>
      <c r="Q21" s="1477" t="str">
        <f>B21</f>
        <v>基础设施水平</v>
      </c>
      <c r="R21" s="1478" t="s">
        <v>8</v>
      </c>
      <c r="S21" s="1479">
        <f>F21</f>
        <v>100</v>
      </c>
      <c r="T21" s="1478" t="s">
        <v>8</v>
      </c>
      <c r="U21" s="1479">
        <f>H21</f>
        <v>100</v>
      </c>
      <c r="V21" s="1478" t="s">
        <v>8</v>
      </c>
      <c r="W21" s="1479">
        <f>J21</f>
        <v>100</v>
      </c>
      <c r="X21" s="1473"/>
      <c r="Y21" s="320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201"/>
      <c r="Q22" s="1477"/>
      <c r="R22" s="1478"/>
      <c r="S22" s="1479"/>
      <c r="T22" s="1478"/>
      <c r="U22" s="1479"/>
      <c r="V22" s="1478"/>
      <c r="W22" s="1479"/>
      <c r="X22" s="1473"/>
      <c r="Y22" s="3201"/>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201"/>
      <c r="Q23" s="1477" t="str">
        <f>B23</f>
        <v>自然及人文环境</v>
      </c>
      <c r="R23" s="1478" t="s">
        <v>8</v>
      </c>
      <c r="S23" s="1479">
        <f>F23</f>
        <v>100</v>
      </c>
      <c r="T23" s="1478" t="s">
        <v>8</v>
      </c>
      <c r="U23" s="1479">
        <f>H23</f>
        <v>100</v>
      </c>
      <c r="V23" s="1478" t="s">
        <v>8</v>
      </c>
      <c r="W23" s="1479">
        <f>J23</f>
        <v>100</v>
      </c>
      <c r="X23" s="1473"/>
      <c r="Y23" s="320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201"/>
      <c r="Q24" s="1477"/>
      <c r="R24" s="1478"/>
      <c r="S24" s="1479"/>
      <c r="T24" s="1478"/>
      <c r="U24" s="1479"/>
      <c r="V24" s="1478"/>
      <c r="W24" s="1479"/>
      <c r="X24" s="1473"/>
      <c r="Y24" s="3201"/>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201"/>
      <c r="Q25" s="1477" t="str">
        <f t="shared" ref="Q25:Q46" si="11">B25</f>
        <v>临街状况</v>
      </c>
      <c r="R25" s="1478" t="s">
        <v>8</v>
      </c>
      <c r="S25" s="1479">
        <f>F25</f>
        <v>100</v>
      </c>
      <c r="T25" s="1478" t="s">
        <v>8</v>
      </c>
      <c r="U25" s="1479">
        <f>H25</f>
        <v>100</v>
      </c>
      <c r="V25" s="1478" t="s">
        <v>8</v>
      </c>
      <c r="W25" s="1479">
        <f>J25</f>
        <v>100</v>
      </c>
      <c r="X25" s="1473"/>
      <c r="Y25" s="3201"/>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201"/>
      <c r="Q26" s="1477" t="str">
        <f t="shared" si="11"/>
        <v>平面位置/可视性</v>
      </c>
      <c r="R26" s="1478" t="s">
        <v>8</v>
      </c>
      <c r="S26" s="1479">
        <f>F26</f>
        <v>100</v>
      </c>
      <c r="T26" s="1478" t="s">
        <v>8</v>
      </c>
      <c r="U26" s="1479">
        <f>H26</f>
        <v>100</v>
      </c>
      <c r="V26" s="1478" t="s">
        <v>8</v>
      </c>
      <c r="W26" s="1479">
        <f>J26</f>
        <v>100</v>
      </c>
      <c r="X26" s="1473"/>
      <c r="Y26" s="3201"/>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201"/>
      <c r="Q27" s="852" t="str">
        <f t="shared" si="11"/>
        <v>人流量</v>
      </c>
      <c r="R27" s="1474" t="s">
        <v>8</v>
      </c>
      <c r="S27" s="1475">
        <f>F27</f>
        <v>100</v>
      </c>
      <c r="T27" s="1474" t="s">
        <v>8</v>
      </c>
      <c r="U27" s="1475">
        <f>H27</f>
        <v>100</v>
      </c>
      <c r="V27" s="1474" t="s">
        <v>8</v>
      </c>
      <c r="W27" s="1475">
        <f>J27</f>
        <v>100</v>
      </c>
      <c r="X27" s="1476"/>
      <c r="Y27" s="3201"/>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201"/>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201"/>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201"/>
      <c r="Q29" s="1477">
        <f t="shared" si="11"/>
        <v>111</v>
      </c>
      <c r="R29" s="1478" t="s">
        <v>8</v>
      </c>
      <c r="S29" s="1479">
        <f t="shared" si="12"/>
        <v>100</v>
      </c>
      <c r="T29" s="1478" t="s">
        <v>8</v>
      </c>
      <c r="U29" s="1479">
        <f t="shared" si="13"/>
        <v>100</v>
      </c>
      <c r="V29" s="1478" t="s">
        <v>8</v>
      </c>
      <c r="W29" s="1479">
        <f t="shared" si="14"/>
        <v>100</v>
      </c>
      <c r="X29" s="1473"/>
      <c r="Y29" s="320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201"/>
      <c r="Q30" s="1477">
        <f t="shared" si="11"/>
        <v>111</v>
      </c>
      <c r="R30" s="1478" t="s">
        <v>8</v>
      </c>
      <c r="S30" s="1479">
        <f t="shared" si="12"/>
        <v>100</v>
      </c>
      <c r="T30" s="1478" t="s">
        <v>8</v>
      </c>
      <c r="U30" s="1479">
        <f t="shared" si="13"/>
        <v>100</v>
      </c>
      <c r="V30" s="1478" t="s">
        <v>8</v>
      </c>
      <c r="W30" s="1479">
        <f t="shared" si="14"/>
        <v>100</v>
      </c>
      <c r="X30" s="1473"/>
      <c r="Y30" s="3201"/>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201"/>
      <c r="Q31" s="1477">
        <f t="shared" si="11"/>
        <v>111</v>
      </c>
      <c r="R31" s="1478" t="s">
        <v>8</v>
      </c>
      <c r="S31" s="1479">
        <f t="shared" si="12"/>
        <v>100</v>
      </c>
      <c r="T31" s="1478" t="s">
        <v>8</v>
      </c>
      <c r="U31" s="1479">
        <f t="shared" si="13"/>
        <v>100</v>
      </c>
      <c r="V31" s="1478" t="s">
        <v>8</v>
      </c>
      <c r="W31" s="1479">
        <f t="shared" si="14"/>
        <v>100</v>
      </c>
      <c r="X31" s="1473"/>
      <c r="Y31" s="3201"/>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202" t="s">
        <v>550</v>
      </c>
      <c r="Q32" s="1477" t="str">
        <f t="shared" si="11"/>
        <v>商业类型</v>
      </c>
      <c r="R32" s="1478" t="s">
        <v>8</v>
      </c>
      <c r="S32" s="1479">
        <f t="shared" si="12"/>
        <v>100</v>
      </c>
      <c r="T32" s="1478" t="s">
        <v>8</v>
      </c>
      <c r="U32" s="1479">
        <f t="shared" si="13"/>
        <v>100</v>
      </c>
      <c r="V32" s="1478" t="s">
        <v>8</v>
      </c>
      <c r="W32" s="1479">
        <f t="shared" si="14"/>
        <v>100</v>
      </c>
      <c r="X32" s="1473"/>
      <c r="Y32" s="3203"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203"/>
      <c r="Q33" s="853" t="str">
        <f t="shared" si="11"/>
        <v>项目建筑规模</v>
      </c>
      <c r="R33" s="1481" t="s">
        <v>8</v>
      </c>
      <c r="S33" s="1482" t="e">
        <f t="shared" si="12"/>
        <v>#N/A</v>
      </c>
      <c r="T33" s="1481" t="s">
        <v>8</v>
      </c>
      <c r="U33" s="1482" t="e">
        <f t="shared" si="13"/>
        <v>#N/A</v>
      </c>
      <c r="V33" s="1481" t="s">
        <v>8</v>
      </c>
      <c r="W33" s="1482" t="e">
        <f t="shared" si="14"/>
        <v>#N/A</v>
      </c>
      <c r="X33" s="1483"/>
      <c r="Y33" s="320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203"/>
      <c r="Q34" s="1477" t="str">
        <f t="shared" si="11"/>
        <v>建筑结构</v>
      </c>
      <c r="R34" s="1478" t="s">
        <v>8</v>
      </c>
      <c r="S34" s="1479">
        <f t="shared" si="12"/>
        <v>100</v>
      </c>
      <c r="T34" s="1478" t="s">
        <v>8</v>
      </c>
      <c r="U34" s="1479">
        <f t="shared" si="13"/>
        <v>100</v>
      </c>
      <c r="V34" s="1478" t="s">
        <v>8</v>
      </c>
      <c r="W34" s="1479">
        <f t="shared" si="14"/>
        <v>100</v>
      </c>
      <c r="X34" s="1473"/>
      <c r="Y34" s="3203"/>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203"/>
      <c r="Q35" s="1477" t="str">
        <f t="shared" si="11"/>
        <v>公共部分装修</v>
      </c>
      <c r="R35" s="1478" t="s">
        <v>8</v>
      </c>
      <c r="S35" s="1479">
        <f t="shared" si="12"/>
        <v>100</v>
      </c>
      <c r="T35" s="1478" t="s">
        <v>8</v>
      </c>
      <c r="U35" s="1479">
        <f t="shared" si="13"/>
        <v>100</v>
      </c>
      <c r="V35" s="1478" t="s">
        <v>8</v>
      </c>
      <c r="W35" s="1479">
        <f t="shared" si="14"/>
        <v>100</v>
      </c>
      <c r="X35" s="1473"/>
      <c r="Y35" s="3203"/>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203"/>
      <c r="Q36" s="1477" t="str">
        <f t="shared" si="11"/>
        <v>成新度</v>
      </c>
      <c r="R36" s="1478" t="s">
        <v>8</v>
      </c>
      <c r="S36" s="1479" t="e">
        <f t="shared" si="12"/>
        <v>#N/A</v>
      </c>
      <c r="T36" s="1478" t="s">
        <v>8</v>
      </c>
      <c r="U36" s="1479" t="e">
        <f t="shared" si="13"/>
        <v>#N/A</v>
      </c>
      <c r="V36" s="1478" t="s">
        <v>8</v>
      </c>
      <c r="W36" s="1479" t="e">
        <f t="shared" si="14"/>
        <v>#N/A</v>
      </c>
      <c r="X36" s="1473"/>
      <c r="Y36" s="3203"/>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203"/>
      <c r="Q37" s="852" t="str">
        <f t="shared" si="11"/>
        <v>市政基础设施</v>
      </c>
      <c r="R37" s="1474" t="s">
        <v>8</v>
      </c>
      <c r="S37" s="1475">
        <f t="shared" si="12"/>
        <v>100</v>
      </c>
      <c r="T37" s="1474" t="s">
        <v>8</v>
      </c>
      <c r="U37" s="1475">
        <f t="shared" si="13"/>
        <v>100</v>
      </c>
      <c r="V37" s="1474" t="s">
        <v>8</v>
      </c>
      <c r="W37" s="1475">
        <f t="shared" si="14"/>
        <v>100</v>
      </c>
      <c r="X37" s="1476"/>
      <c r="Y37" s="3203"/>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203" t="s">
        <v>766</v>
      </c>
      <c r="Q38" s="1477" t="str">
        <f t="shared" si="11"/>
        <v>业态</v>
      </c>
      <c r="R38" s="1478" t="s">
        <v>8</v>
      </c>
      <c r="S38" s="1479">
        <f t="shared" si="12"/>
        <v>100</v>
      </c>
      <c r="T38" s="1478" t="s">
        <v>8</v>
      </c>
      <c r="U38" s="1479">
        <f t="shared" si="13"/>
        <v>100</v>
      </c>
      <c r="V38" s="1478" t="s">
        <v>8</v>
      </c>
      <c r="W38" s="1479">
        <f t="shared" si="14"/>
        <v>100</v>
      </c>
      <c r="X38" s="1473"/>
      <c r="Y38" s="3203"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03"/>
      <c r="Q39" s="1477" t="str">
        <f t="shared" si="11"/>
        <v>层高</v>
      </c>
      <c r="R39" s="1478" t="s">
        <v>8</v>
      </c>
      <c r="S39" s="1479">
        <f t="shared" si="12"/>
        <v>100</v>
      </c>
      <c r="T39" s="1478" t="s">
        <v>8</v>
      </c>
      <c r="U39" s="1479">
        <f t="shared" si="13"/>
        <v>100</v>
      </c>
      <c r="V39" s="1478" t="s">
        <v>8</v>
      </c>
      <c r="W39" s="1479">
        <f t="shared" si="14"/>
        <v>100</v>
      </c>
      <c r="X39" s="1473"/>
      <c r="Y39" s="3203"/>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203"/>
      <c r="Q40" s="1477" t="str">
        <f t="shared" si="11"/>
        <v>单套建筑面积</v>
      </c>
      <c r="R40" s="1478" t="s">
        <v>8</v>
      </c>
      <c r="S40" s="1479">
        <f t="shared" si="12"/>
        <v>100</v>
      </c>
      <c r="T40" s="1478" t="s">
        <v>8</v>
      </c>
      <c r="U40" s="1479">
        <f t="shared" si="13"/>
        <v>100</v>
      </c>
      <c r="V40" s="1478" t="s">
        <v>8</v>
      </c>
      <c r="W40" s="1479">
        <f t="shared" si="14"/>
        <v>100</v>
      </c>
      <c r="X40" s="1473"/>
      <c r="Y40" s="3203"/>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203"/>
      <c r="Q41" s="853" t="str">
        <f t="shared" si="11"/>
        <v>进深比</v>
      </c>
      <c r="R41" s="1481" t="s">
        <v>8</v>
      </c>
      <c r="S41" s="1482">
        <f t="shared" si="12"/>
        <v>100</v>
      </c>
      <c r="T41" s="1481" t="s">
        <v>8</v>
      </c>
      <c r="U41" s="1482">
        <f t="shared" si="13"/>
        <v>100</v>
      </c>
      <c r="V41" s="1481" t="s">
        <v>8</v>
      </c>
      <c r="W41" s="1482">
        <f t="shared" si="14"/>
        <v>100</v>
      </c>
      <c r="X41" s="1483"/>
      <c r="Y41" s="3203"/>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203"/>
      <c r="Q42" s="1477" t="str">
        <f t="shared" si="11"/>
        <v>内部装修</v>
      </c>
      <c r="R42" s="1478" t="s">
        <v>8</v>
      </c>
      <c r="S42" s="1479">
        <f t="shared" si="12"/>
        <v>100</v>
      </c>
      <c r="T42" s="1478" t="s">
        <v>8</v>
      </c>
      <c r="U42" s="1479">
        <f t="shared" si="13"/>
        <v>100</v>
      </c>
      <c r="V42" s="1478" t="s">
        <v>8</v>
      </c>
      <c r="W42" s="1479">
        <f t="shared" si="14"/>
        <v>100</v>
      </c>
      <c r="X42" s="1473"/>
      <c r="Y42" s="3203"/>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203"/>
      <c r="Q43" s="1477" t="str">
        <f t="shared" si="11"/>
        <v>内部装修维护情况</v>
      </c>
      <c r="R43" s="1478" t="s">
        <v>8</v>
      </c>
      <c r="S43" s="1479">
        <f t="shared" si="12"/>
        <v>100</v>
      </c>
      <c r="T43" s="1478" t="s">
        <v>8</v>
      </c>
      <c r="U43" s="1479">
        <f t="shared" si="13"/>
        <v>100</v>
      </c>
      <c r="V43" s="1478" t="s">
        <v>8</v>
      </c>
      <c r="W43" s="1479">
        <f t="shared" si="14"/>
        <v>100</v>
      </c>
      <c r="X43" s="1473"/>
      <c r="Y43" s="320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203"/>
      <c r="Q44" s="852">
        <f t="shared" si="11"/>
        <v>111</v>
      </c>
      <c r="R44" s="1474" t="s">
        <v>8</v>
      </c>
      <c r="S44" s="1475">
        <f t="shared" si="12"/>
        <v>100</v>
      </c>
      <c r="T44" s="1474" t="s">
        <v>8</v>
      </c>
      <c r="U44" s="1475">
        <f t="shared" si="13"/>
        <v>100</v>
      </c>
      <c r="V44" s="1474" t="s">
        <v>8</v>
      </c>
      <c r="W44" s="1475">
        <f t="shared" si="14"/>
        <v>100</v>
      </c>
      <c r="X44" s="1476"/>
      <c r="Y44" s="320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203"/>
      <c r="Q45" s="1477">
        <f t="shared" si="11"/>
        <v>111</v>
      </c>
      <c r="R45" s="1478" t="s">
        <v>8</v>
      </c>
      <c r="S45" s="1479">
        <f t="shared" si="12"/>
        <v>100</v>
      </c>
      <c r="T45" s="1478" t="s">
        <v>8</v>
      </c>
      <c r="U45" s="1479">
        <f t="shared" si="13"/>
        <v>100</v>
      </c>
      <c r="V45" s="1478" t="s">
        <v>8</v>
      </c>
      <c r="W45" s="1479">
        <f t="shared" si="14"/>
        <v>100</v>
      </c>
      <c r="X45" s="1473"/>
      <c r="Y45" s="3203"/>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83"/>
      <c r="Q46" s="1477">
        <f t="shared" si="11"/>
        <v>111</v>
      </c>
      <c r="R46" s="1478" t="s">
        <v>8</v>
      </c>
      <c r="S46" s="1479">
        <f t="shared" si="12"/>
        <v>100</v>
      </c>
      <c r="T46" s="1478" t="s">
        <v>8</v>
      </c>
      <c r="U46" s="1479">
        <f t="shared" si="13"/>
        <v>100</v>
      </c>
      <c r="V46" s="1478" t="s">
        <v>8</v>
      </c>
      <c r="W46" s="1479">
        <f t="shared" si="14"/>
        <v>100</v>
      </c>
      <c r="X46" s="1473"/>
      <c r="Y46" s="3283"/>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66" t="str">
        <f>A47</f>
        <v>成交单价（元/平方米）</v>
      </c>
      <c r="Q47" s="3166"/>
      <c r="R47" s="3167">
        <f>E47</f>
        <v>0</v>
      </c>
      <c r="S47" s="3167"/>
      <c r="T47" s="3167">
        <f>G47</f>
        <v>0</v>
      </c>
      <c r="U47" s="3167"/>
      <c r="V47" s="3167">
        <f>I47</f>
        <v>0</v>
      </c>
      <c r="W47" s="3167"/>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66" t="str">
        <f>A48</f>
        <v>比较价格（元/平方米）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833"/>
      <c r="Y48" s="833"/>
      <c r="Z48" s="833"/>
      <c r="AA48" s="833"/>
      <c r="AB48" s="833"/>
      <c r="AC48" s="833"/>
    </row>
    <row r="49" spans="1:29" ht="15.75" thickBot="1">
      <c r="A49" s="597" t="s">
        <v>2933</v>
      </c>
      <c r="B49" s="598"/>
      <c r="C49" s="496" t="e">
        <f>R49</f>
        <v>#DIV/0!</v>
      </c>
      <c r="D49" s="496"/>
      <c r="E49" s="496"/>
      <c r="F49" s="496"/>
      <c r="G49" s="496"/>
      <c r="H49" s="496"/>
      <c r="I49" s="496"/>
      <c r="J49" s="496"/>
      <c r="K49" s="1512"/>
      <c r="L49" s="1995"/>
      <c r="M49" s="1986"/>
      <c r="N49" s="1986"/>
      <c r="O49" s="1986"/>
      <c r="P49" s="3163" t="str">
        <f>A49</f>
        <v>估价对象XX用房的比较价格（楼面单价，元/平方米）</v>
      </c>
      <c r="Q49" s="3164"/>
      <c r="R49" s="3282" t="e">
        <f>IF(F1="售价",ROUND(AVERAGE(R48:V48),0),ROUND(AVERAGE(R48:V48),1))</f>
        <v>#DIV/0!</v>
      </c>
      <c r="S49" s="3282"/>
      <c r="T49" s="3282"/>
      <c r="U49" s="3282"/>
      <c r="V49" s="3282"/>
      <c r="W49" s="3282"/>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72" t="s">
        <v>522</v>
      </c>
      <c r="D4" s="3173"/>
      <c r="E4" s="3206" t="s">
        <v>523</v>
      </c>
      <c r="F4" s="3207"/>
      <c r="G4" s="3172" t="s">
        <v>524</v>
      </c>
      <c r="H4" s="3173"/>
      <c r="I4" s="3172" t="s">
        <v>525</v>
      </c>
      <c r="J4" s="3173"/>
      <c r="K4" s="492" t="s">
        <v>526</v>
      </c>
      <c r="L4" s="1985"/>
      <c r="M4" s="1986"/>
      <c r="N4" s="1986"/>
      <c r="O4" s="1986"/>
      <c r="P4" s="3285" t="s">
        <v>527</v>
      </c>
      <c r="Q4" s="3175"/>
      <c r="R4" s="3180" t="s">
        <v>523</v>
      </c>
      <c r="S4" s="3181"/>
      <c r="T4" s="3180" t="s">
        <v>524</v>
      </c>
      <c r="U4" s="3181"/>
      <c r="V4" s="3167" t="s">
        <v>525</v>
      </c>
      <c r="W4" s="3167"/>
      <c r="X4" s="1473"/>
      <c r="Y4" s="3180" t="s">
        <v>527</v>
      </c>
      <c r="Z4" s="3181"/>
      <c r="AA4" s="3169" t="s">
        <v>523</v>
      </c>
      <c r="AB4" s="3169" t="s">
        <v>524</v>
      </c>
      <c r="AC4" s="3169" t="s">
        <v>525</v>
      </c>
    </row>
    <row r="5" spans="1:29" ht="15">
      <c r="A5" s="493"/>
      <c r="B5" s="494"/>
      <c r="C5" s="3188" t="s">
        <v>2927</v>
      </c>
      <c r="D5" s="3189"/>
      <c r="E5" s="3208" t="s">
        <v>2928</v>
      </c>
      <c r="F5" s="3209"/>
      <c r="G5" s="3188" t="s">
        <v>2929</v>
      </c>
      <c r="H5" s="3189"/>
      <c r="I5" s="3188" t="s">
        <v>2930</v>
      </c>
      <c r="J5" s="3189"/>
      <c r="K5" s="492"/>
      <c r="L5" s="1985"/>
      <c r="M5" s="1986"/>
      <c r="N5" s="1986"/>
      <c r="O5" s="1986"/>
      <c r="P5" s="3286"/>
      <c r="Q5" s="3177"/>
      <c r="R5" s="3182"/>
      <c r="S5" s="3183"/>
      <c r="T5" s="3182"/>
      <c r="U5" s="3183"/>
      <c r="V5" s="3167"/>
      <c r="W5" s="3167"/>
      <c r="X5" s="1473"/>
      <c r="Y5" s="3182"/>
      <c r="Z5" s="3183"/>
      <c r="AA5" s="3170"/>
      <c r="AB5" s="3170"/>
      <c r="AC5" s="3170"/>
    </row>
    <row r="6" spans="1:29" ht="15.75" thickBot="1">
      <c r="A6" s="495"/>
      <c r="B6" s="496"/>
      <c r="C6" s="3186" t="s">
        <v>2931</v>
      </c>
      <c r="D6" s="3187"/>
      <c r="E6" s="3204" t="s">
        <v>2931</v>
      </c>
      <c r="F6" s="3205"/>
      <c r="G6" s="3186" t="s">
        <v>2931</v>
      </c>
      <c r="H6" s="3187"/>
      <c r="I6" s="3186" t="s">
        <v>2931</v>
      </c>
      <c r="J6" s="3187"/>
      <c r="K6" s="492" t="s">
        <v>528</v>
      </c>
      <c r="L6" s="1985"/>
      <c r="M6" s="1986"/>
      <c r="N6" s="1986"/>
      <c r="O6" s="1986"/>
      <c r="P6" s="3287"/>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99" t="s">
        <v>530</v>
      </c>
      <c r="Q7" s="3199"/>
      <c r="R7" s="1474" t="s">
        <v>8</v>
      </c>
      <c r="S7" s="1475">
        <f t="shared" ref="S7:S15" si="0">F7</f>
        <v>0</v>
      </c>
      <c r="T7" s="1474" t="s">
        <v>8</v>
      </c>
      <c r="U7" s="1475">
        <f t="shared" ref="U7:U15" si="1">H7</f>
        <v>0</v>
      </c>
      <c r="V7" s="1474" t="s">
        <v>8</v>
      </c>
      <c r="W7" s="1475">
        <f t="shared" ref="W7:W15"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99" t="s">
        <v>533</v>
      </c>
      <c r="Q8" s="3198"/>
      <c r="R8" s="1474" t="s">
        <v>8</v>
      </c>
      <c r="S8" s="1475">
        <f t="shared" si="0"/>
        <v>0</v>
      </c>
      <c r="T8" s="1474" t="s">
        <v>8</v>
      </c>
      <c r="U8" s="1475">
        <f t="shared" si="1"/>
        <v>0</v>
      </c>
      <c r="V8" s="1474" t="s">
        <v>8</v>
      </c>
      <c r="W8" s="1475">
        <f t="shared" si="2"/>
        <v>0</v>
      </c>
      <c r="X8" s="1476"/>
      <c r="Y8" s="3197" t="s">
        <v>533</v>
      </c>
      <c r="Z8" s="3198"/>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66" t="s">
        <v>535</v>
      </c>
      <c r="Q9" s="852" t="str">
        <f t="shared" ref="Q9:Q15" si="6">B9</f>
        <v>用途</v>
      </c>
      <c r="R9" s="1474" t="s">
        <v>8</v>
      </c>
      <c r="S9" s="1475">
        <f t="shared" si="0"/>
        <v>100</v>
      </c>
      <c r="T9" s="1474" t="s">
        <v>8</v>
      </c>
      <c r="U9" s="1475">
        <f t="shared" si="1"/>
        <v>100</v>
      </c>
      <c r="V9" s="1474" t="s">
        <v>8</v>
      </c>
      <c r="W9" s="1475">
        <f t="shared" si="2"/>
        <v>100</v>
      </c>
      <c r="X9" s="1476"/>
      <c r="Y9" s="3112"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66"/>
      <c r="Q11" s="852" t="str">
        <f t="shared" si="6"/>
        <v>容积率</v>
      </c>
      <c r="R11" s="1474" t="s">
        <v>8</v>
      </c>
      <c r="S11" s="1475" t="e">
        <f t="shared" si="0"/>
        <v>#N/A</v>
      </c>
      <c r="T11" s="1474" t="s">
        <v>8</v>
      </c>
      <c r="U11" s="1475" t="e">
        <f t="shared" si="1"/>
        <v>#N/A</v>
      </c>
      <c r="V11" s="1474" t="s">
        <v>8</v>
      </c>
      <c r="W11" s="1475" t="e">
        <f t="shared" si="2"/>
        <v>#N/A</v>
      </c>
      <c r="X11" s="1476"/>
      <c r="Y11" s="3112"/>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66"/>
      <c r="Q14" s="852">
        <f t="shared" si="6"/>
        <v>111</v>
      </c>
      <c r="R14" s="1474" t="s">
        <v>8</v>
      </c>
      <c r="S14" s="1475">
        <f t="shared" si="0"/>
        <v>100</v>
      </c>
      <c r="T14" s="1474" t="s">
        <v>8</v>
      </c>
      <c r="U14" s="1475">
        <f t="shared" si="1"/>
        <v>100</v>
      </c>
      <c r="V14" s="1474" t="s">
        <v>8</v>
      </c>
      <c r="W14" s="1475">
        <f t="shared" si="2"/>
        <v>100</v>
      </c>
      <c r="X14" s="1476"/>
      <c r="Y14" s="3112"/>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200" t="s">
        <v>540</v>
      </c>
      <c r="Q15" s="1477" t="str">
        <f t="shared" si="6"/>
        <v>办公集聚程度</v>
      </c>
      <c r="R15" s="1478" t="s">
        <v>8</v>
      </c>
      <c r="S15" s="1479">
        <f t="shared" si="0"/>
        <v>100</v>
      </c>
      <c r="T15" s="1478" t="s">
        <v>8</v>
      </c>
      <c r="U15" s="1479">
        <f t="shared" si="1"/>
        <v>100</v>
      </c>
      <c r="V15" s="1478" t="s">
        <v>8</v>
      </c>
      <c r="W15" s="1479">
        <f t="shared" si="2"/>
        <v>100</v>
      </c>
      <c r="X15" s="1473"/>
      <c r="Y15" s="3200"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201"/>
      <c r="Q16" s="1477"/>
      <c r="R16" s="1478"/>
      <c r="S16" s="1479"/>
      <c r="T16" s="1478"/>
      <c r="U16" s="1479"/>
      <c r="V16" s="1478"/>
      <c r="W16" s="1479"/>
      <c r="X16" s="1473"/>
      <c r="Y16" s="3201"/>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201"/>
      <c r="Q17" s="1477" t="str">
        <f>B17</f>
        <v>交通便捷度</v>
      </c>
      <c r="R17" s="1478" t="s">
        <v>8</v>
      </c>
      <c r="S17" s="1479">
        <f>F17</f>
        <v>100</v>
      </c>
      <c r="T17" s="1478" t="s">
        <v>8</v>
      </c>
      <c r="U17" s="1479">
        <f>H17</f>
        <v>100</v>
      </c>
      <c r="V17" s="1478" t="s">
        <v>8</v>
      </c>
      <c r="W17" s="1479">
        <f>J17</f>
        <v>100</v>
      </c>
      <c r="X17" s="1473"/>
      <c r="Y17" s="3201"/>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201"/>
      <c r="Q18" s="1477"/>
      <c r="R18" s="1478"/>
      <c r="S18" s="1479"/>
      <c r="T18" s="1478"/>
      <c r="U18" s="1479"/>
      <c r="V18" s="1478"/>
      <c r="W18" s="1479"/>
      <c r="X18" s="1473"/>
      <c r="Y18" s="3201"/>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201"/>
      <c r="Q19" s="1477" t="str">
        <f>B19</f>
        <v>公共配套设施</v>
      </c>
      <c r="R19" s="1478" t="s">
        <v>8</v>
      </c>
      <c r="S19" s="1479">
        <f>F19</f>
        <v>100</v>
      </c>
      <c r="T19" s="1478" t="s">
        <v>8</v>
      </c>
      <c r="U19" s="1479">
        <f>H19</f>
        <v>100</v>
      </c>
      <c r="V19" s="1478" t="s">
        <v>8</v>
      </c>
      <c r="W19" s="1479">
        <f>J19</f>
        <v>100</v>
      </c>
      <c r="X19" s="1473"/>
      <c r="Y19" s="3201"/>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201"/>
      <c r="Q20" s="1477"/>
      <c r="R20" s="1478"/>
      <c r="S20" s="1479"/>
      <c r="T20" s="1478"/>
      <c r="U20" s="1479"/>
      <c r="V20" s="1478"/>
      <c r="W20" s="1479"/>
      <c r="X20" s="1473"/>
      <c r="Y20" s="3201"/>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201"/>
      <c r="Q21" s="1477" t="str">
        <f>B21</f>
        <v>基础设施水平</v>
      </c>
      <c r="R21" s="1478" t="s">
        <v>8</v>
      </c>
      <c r="S21" s="1479">
        <f>F21</f>
        <v>100</v>
      </c>
      <c r="T21" s="1478" t="s">
        <v>8</v>
      </c>
      <c r="U21" s="1479">
        <f>H21</f>
        <v>100</v>
      </c>
      <c r="V21" s="1478" t="s">
        <v>8</v>
      </c>
      <c r="W21" s="1479">
        <f>J21</f>
        <v>100</v>
      </c>
      <c r="X21" s="1473"/>
      <c r="Y21" s="3201"/>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201"/>
      <c r="Q22" s="1477"/>
      <c r="R22" s="1478"/>
      <c r="S22" s="1479"/>
      <c r="T22" s="1478"/>
      <c r="U22" s="1479"/>
      <c r="V22" s="1478"/>
      <c r="W22" s="1479"/>
      <c r="X22" s="1473"/>
      <c r="Y22" s="3201"/>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201"/>
      <c r="Q23" s="1477" t="str">
        <f>B23</f>
        <v>环境质量</v>
      </c>
      <c r="R23" s="1478" t="s">
        <v>8</v>
      </c>
      <c r="S23" s="1479">
        <f>F23</f>
        <v>100</v>
      </c>
      <c r="T23" s="1478" t="s">
        <v>8</v>
      </c>
      <c r="U23" s="1479">
        <f>H23</f>
        <v>100</v>
      </c>
      <c r="V23" s="1478" t="s">
        <v>8</v>
      </c>
      <c r="W23" s="1479">
        <f>J23</f>
        <v>100</v>
      </c>
      <c r="X23" s="1473"/>
      <c r="Y23" s="3201"/>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201"/>
      <c r="Q24" s="1477"/>
      <c r="R24" s="1478"/>
      <c r="S24" s="1479"/>
      <c r="T24" s="1478"/>
      <c r="U24" s="1479"/>
      <c r="V24" s="1478"/>
      <c r="W24" s="1479"/>
      <c r="X24" s="1473"/>
      <c r="Y24" s="3201"/>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201"/>
      <c r="Q25" s="1477" t="str">
        <f>B25</f>
        <v>毗邻道路的类型与等级</v>
      </c>
      <c r="R25" s="1478" t="s">
        <v>8</v>
      </c>
      <c r="S25" s="1479">
        <f>F25</f>
        <v>100</v>
      </c>
      <c r="T25" s="1478" t="s">
        <v>8</v>
      </c>
      <c r="U25" s="1479">
        <f>H25</f>
        <v>100</v>
      </c>
      <c r="V25" s="1478" t="s">
        <v>8</v>
      </c>
      <c r="W25" s="1479">
        <f>J25</f>
        <v>100</v>
      </c>
      <c r="X25" s="1473"/>
      <c r="Y25" s="3201"/>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201"/>
      <c r="Q26" s="1477"/>
      <c r="R26" s="1478"/>
      <c r="S26" s="1479"/>
      <c r="T26" s="1478"/>
      <c r="U26" s="1479"/>
      <c r="V26" s="1478"/>
      <c r="W26" s="1479"/>
      <c r="X26" s="1473"/>
      <c r="Y26" s="3201"/>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201"/>
      <c r="Q27" s="1477" t="str">
        <f t="shared" ref="Q27:Q47" si="11">B27</f>
        <v>楼层</v>
      </c>
      <c r="R27" s="1478" t="s">
        <v>8</v>
      </c>
      <c r="S27" s="1479">
        <f>F27</f>
        <v>100</v>
      </c>
      <c r="T27" s="1478" t="s">
        <v>8</v>
      </c>
      <c r="U27" s="1479">
        <f>H27</f>
        <v>100</v>
      </c>
      <c r="V27" s="1478" t="s">
        <v>8</v>
      </c>
      <c r="W27" s="1479">
        <f>J27</f>
        <v>100</v>
      </c>
      <c r="X27" s="1473"/>
      <c r="Y27" s="3201"/>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201"/>
      <c r="Q28" s="852" t="str">
        <f t="shared" si="11"/>
        <v>朝向</v>
      </c>
      <c r="R28" s="1474" t="s">
        <v>8</v>
      </c>
      <c r="S28" s="1475">
        <f>F28</f>
        <v>100</v>
      </c>
      <c r="T28" s="1474" t="s">
        <v>8</v>
      </c>
      <c r="U28" s="1475">
        <f>H28</f>
        <v>100</v>
      </c>
      <c r="V28" s="1474" t="s">
        <v>8</v>
      </c>
      <c r="W28" s="1475">
        <f>J28</f>
        <v>100</v>
      </c>
      <c r="X28" s="1476"/>
      <c r="Y28" s="3201"/>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201"/>
      <c r="Q29" s="1477">
        <f t="shared" si="11"/>
        <v>111</v>
      </c>
      <c r="R29" s="1478" t="s">
        <v>8</v>
      </c>
      <c r="S29" s="1479">
        <f t="shared" ref="S29:S47" si="12">F29</f>
        <v>100</v>
      </c>
      <c r="T29" s="1478" t="s">
        <v>8</v>
      </c>
      <c r="U29" s="1479">
        <f t="shared" ref="U29:U47" si="13">H29</f>
        <v>100</v>
      </c>
      <c r="V29" s="1478" t="s">
        <v>8</v>
      </c>
      <c r="W29" s="1479">
        <f t="shared" ref="W29:W47" si="14">J29</f>
        <v>100</v>
      </c>
      <c r="X29" s="1473"/>
      <c r="Y29" s="3201"/>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201"/>
      <c r="Q30" s="1477">
        <f t="shared" si="11"/>
        <v>111</v>
      </c>
      <c r="R30" s="1478" t="s">
        <v>8</v>
      </c>
      <c r="S30" s="1479">
        <f t="shared" si="12"/>
        <v>100</v>
      </c>
      <c r="T30" s="1478" t="s">
        <v>8</v>
      </c>
      <c r="U30" s="1479">
        <f t="shared" si="13"/>
        <v>100</v>
      </c>
      <c r="V30" s="1478" t="s">
        <v>8</v>
      </c>
      <c r="W30" s="1479">
        <f t="shared" si="14"/>
        <v>100</v>
      </c>
      <c r="X30" s="1473"/>
      <c r="Y30" s="3201"/>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201"/>
      <c r="Q31" s="1477">
        <f t="shared" si="11"/>
        <v>111</v>
      </c>
      <c r="R31" s="1478" t="s">
        <v>8</v>
      </c>
      <c r="S31" s="1479">
        <f t="shared" si="12"/>
        <v>100</v>
      </c>
      <c r="T31" s="1478" t="s">
        <v>8</v>
      </c>
      <c r="U31" s="1479">
        <f t="shared" si="13"/>
        <v>100</v>
      </c>
      <c r="V31" s="1478" t="s">
        <v>8</v>
      </c>
      <c r="W31" s="1479">
        <f t="shared" si="14"/>
        <v>100</v>
      </c>
      <c r="X31" s="1473"/>
      <c r="Y31" s="3201"/>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201"/>
      <c r="Q32" s="1477">
        <f t="shared" si="11"/>
        <v>111</v>
      </c>
      <c r="R32" s="1478" t="s">
        <v>8</v>
      </c>
      <c r="S32" s="1479">
        <f t="shared" si="12"/>
        <v>100</v>
      </c>
      <c r="T32" s="1478" t="s">
        <v>8</v>
      </c>
      <c r="U32" s="1479">
        <f t="shared" si="13"/>
        <v>100</v>
      </c>
      <c r="V32" s="1478" t="s">
        <v>8</v>
      </c>
      <c r="W32" s="1479">
        <f t="shared" si="14"/>
        <v>100</v>
      </c>
      <c r="X32" s="1473"/>
      <c r="Y32" s="3201"/>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202" t="s">
        <v>550</v>
      </c>
      <c r="Q33" s="1477" t="str">
        <f t="shared" si="11"/>
        <v>建筑类型</v>
      </c>
      <c r="R33" s="1478" t="s">
        <v>8</v>
      </c>
      <c r="S33" s="1479">
        <f t="shared" si="12"/>
        <v>100</v>
      </c>
      <c r="T33" s="1478" t="s">
        <v>8</v>
      </c>
      <c r="U33" s="1479">
        <f t="shared" si="13"/>
        <v>100</v>
      </c>
      <c r="V33" s="1478" t="s">
        <v>8</v>
      </c>
      <c r="W33" s="1479">
        <f t="shared" si="14"/>
        <v>100</v>
      </c>
      <c r="X33" s="1473"/>
      <c r="Y33" s="3203"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203"/>
      <c r="Q34" s="853" t="str">
        <f t="shared" si="11"/>
        <v>项目建筑规模</v>
      </c>
      <c r="R34" s="1481" t="s">
        <v>8</v>
      </c>
      <c r="S34" s="1482" t="e">
        <f t="shared" si="12"/>
        <v>#N/A</v>
      </c>
      <c r="T34" s="1481" t="s">
        <v>8</v>
      </c>
      <c r="U34" s="1482" t="e">
        <f t="shared" si="13"/>
        <v>#N/A</v>
      </c>
      <c r="V34" s="1481" t="s">
        <v>8</v>
      </c>
      <c r="W34" s="1482" t="e">
        <f t="shared" si="14"/>
        <v>#N/A</v>
      </c>
      <c r="X34" s="1483"/>
      <c r="Y34" s="3203"/>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203"/>
      <c r="Q35" s="1477" t="str">
        <f t="shared" si="11"/>
        <v>建筑结构</v>
      </c>
      <c r="R35" s="1478" t="s">
        <v>8</v>
      </c>
      <c r="S35" s="1479">
        <f t="shared" si="12"/>
        <v>100</v>
      </c>
      <c r="T35" s="1478" t="s">
        <v>8</v>
      </c>
      <c r="U35" s="1479">
        <f t="shared" si="13"/>
        <v>100</v>
      </c>
      <c r="V35" s="1478" t="s">
        <v>8</v>
      </c>
      <c r="W35" s="1479">
        <f t="shared" si="14"/>
        <v>100</v>
      </c>
      <c r="X35" s="1473"/>
      <c r="Y35" s="3203"/>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203"/>
      <c r="Q36" s="1477" t="str">
        <f t="shared" si="11"/>
        <v>公共部分装修</v>
      </c>
      <c r="R36" s="1478" t="s">
        <v>8</v>
      </c>
      <c r="S36" s="1479">
        <f t="shared" si="12"/>
        <v>100</v>
      </c>
      <c r="T36" s="1478" t="s">
        <v>8</v>
      </c>
      <c r="U36" s="1479">
        <f t="shared" si="13"/>
        <v>100</v>
      </c>
      <c r="V36" s="1478" t="s">
        <v>8</v>
      </c>
      <c r="W36" s="1479">
        <f t="shared" si="14"/>
        <v>100</v>
      </c>
      <c r="X36" s="1473"/>
      <c r="Y36" s="3203"/>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203"/>
      <c r="Q37" s="1477" t="str">
        <f t="shared" si="11"/>
        <v>成新度</v>
      </c>
      <c r="R37" s="1478" t="s">
        <v>8</v>
      </c>
      <c r="S37" s="1479" t="e">
        <f t="shared" si="12"/>
        <v>#N/A</v>
      </c>
      <c r="T37" s="1478" t="s">
        <v>8</v>
      </c>
      <c r="U37" s="1479" t="e">
        <f t="shared" si="13"/>
        <v>#N/A</v>
      </c>
      <c r="V37" s="1478" t="s">
        <v>8</v>
      </c>
      <c r="W37" s="1479" t="e">
        <f t="shared" si="14"/>
        <v>#N/A</v>
      </c>
      <c r="X37" s="1473"/>
      <c r="Y37" s="3203"/>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203"/>
      <c r="Q38" s="852" t="str">
        <f t="shared" si="11"/>
        <v>写字楼等级</v>
      </c>
      <c r="R38" s="1474" t="s">
        <v>8</v>
      </c>
      <c r="S38" s="1475">
        <f t="shared" si="12"/>
        <v>100</v>
      </c>
      <c r="T38" s="1474" t="s">
        <v>8</v>
      </c>
      <c r="U38" s="1475">
        <f t="shared" si="13"/>
        <v>100</v>
      </c>
      <c r="V38" s="1474" t="s">
        <v>8</v>
      </c>
      <c r="W38" s="1475">
        <f t="shared" si="14"/>
        <v>100</v>
      </c>
      <c r="X38" s="1476"/>
      <c r="Y38" s="3203"/>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203" t="s">
        <v>550</v>
      </c>
      <c r="Q39" s="1477" t="str">
        <f t="shared" si="11"/>
        <v>物业管理</v>
      </c>
      <c r="R39" s="1478" t="s">
        <v>8</v>
      </c>
      <c r="S39" s="1479">
        <f t="shared" si="12"/>
        <v>100</v>
      </c>
      <c r="T39" s="1478" t="s">
        <v>8</v>
      </c>
      <c r="U39" s="1479">
        <f t="shared" si="13"/>
        <v>100</v>
      </c>
      <c r="V39" s="1478" t="s">
        <v>8</v>
      </c>
      <c r="W39" s="1479">
        <f t="shared" si="14"/>
        <v>100</v>
      </c>
      <c r="X39" s="1473"/>
      <c r="Y39" s="3203"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203"/>
      <c r="Q40" s="1477" t="str">
        <f t="shared" si="11"/>
        <v>市政基础设施</v>
      </c>
      <c r="R40" s="1478" t="s">
        <v>8</v>
      </c>
      <c r="S40" s="1479">
        <f t="shared" si="12"/>
        <v>100</v>
      </c>
      <c r="T40" s="1478" t="s">
        <v>8</v>
      </c>
      <c r="U40" s="1479">
        <f t="shared" si="13"/>
        <v>100</v>
      </c>
      <c r="V40" s="1478" t="s">
        <v>8</v>
      </c>
      <c r="W40" s="1479">
        <f t="shared" si="14"/>
        <v>100</v>
      </c>
      <c r="X40" s="1473"/>
      <c r="Y40" s="3203"/>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203"/>
      <c r="Q41" s="1477" t="str">
        <f t="shared" si="11"/>
        <v>层高</v>
      </c>
      <c r="R41" s="1478" t="s">
        <v>8</v>
      </c>
      <c r="S41" s="1479">
        <f t="shared" si="12"/>
        <v>100</v>
      </c>
      <c r="T41" s="1478" t="s">
        <v>8</v>
      </c>
      <c r="U41" s="1479">
        <f t="shared" si="13"/>
        <v>100</v>
      </c>
      <c r="V41" s="1478" t="s">
        <v>8</v>
      </c>
      <c r="W41" s="1479">
        <f t="shared" si="14"/>
        <v>100</v>
      </c>
      <c r="X41" s="1473"/>
      <c r="Y41" s="3203"/>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203"/>
      <c r="Q42" s="853" t="str">
        <f t="shared" si="11"/>
        <v>单套建筑面积</v>
      </c>
      <c r="R42" s="1481" t="s">
        <v>8</v>
      </c>
      <c r="S42" s="1482">
        <f t="shared" si="12"/>
        <v>100</v>
      </c>
      <c r="T42" s="1481" t="s">
        <v>8</v>
      </c>
      <c r="U42" s="1482">
        <f t="shared" si="13"/>
        <v>100</v>
      </c>
      <c r="V42" s="1481" t="s">
        <v>8</v>
      </c>
      <c r="W42" s="1482">
        <f t="shared" si="14"/>
        <v>100</v>
      </c>
      <c r="X42" s="1483"/>
      <c r="Y42" s="3203"/>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203"/>
      <c r="Q43" s="1477" t="str">
        <f t="shared" si="11"/>
        <v>内部装修</v>
      </c>
      <c r="R43" s="1478" t="s">
        <v>8</v>
      </c>
      <c r="S43" s="1479">
        <f t="shared" si="12"/>
        <v>100</v>
      </c>
      <c r="T43" s="1478" t="s">
        <v>8</v>
      </c>
      <c r="U43" s="1479">
        <f t="shared" si="13"/>
        <v>100</v>
      </c>
      <c r="V43" s="1478" t="s">
        <v>8</v>
      </c>
      <c r="W43" s="1479">
        <f t="shared" si="14"/>
        <v>100</v>
      </c>
      <c r="X43" s="1473"/>
      <c r="Y43" s="3203"/>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203"/>
      <c r="Q44" s="1477" t="str">
        <f t="shared" si="11"/>
        <v>内部装修维护情况</v>
      </c>
      <c r="R44" s="1478" t="s">
        <v>8</v>
      </c>
      <c r="S44" s="1479">
        <f t="shared" si="12"/>
        <v>100</v>
      </c>
      <c r="T44" s="1478" t="s">
        <v>8</v>
      </c>
      <c r="U44" s="1479">
        <f t="shared" si="13"/>
        <v>100</v>
      </c>
      <c r="V44" s="1478" t="s">
        <v>8</v>
      </c>
      <c r="W44" s="1479">
        <f t="shared" si="14"/>
        <v>100</v>
      </c>
      <c r="X44" s="1473"/>
      <c r="Y44" s="3203"/>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203"/>
      <c r="Q45" s="852">
        <f t="shared" si="11"/>
        <v>111</v>
      </c>
      <c r="R45" s="1474" t="s">
        <v>8</v>
      </c>
      <c r="S45" s="1475">
        <f t="shared" si="12"/>
        <v>100</v>
      </c>
      <c r="T45" s="1474" t="s">
        <v>8</v>
      </c>
      <c r="U45" s="1475">
        <f t="shared" si="13"/>
        <v>100</v>
      </c>
      <c r="V45" s="1474" t="s">
        <v>8</v>
      </c>
      <c r="W45" s="1475">
        <f t="shared" si="14"/>
        <v>100</v>
      </c>
      <c r="X45" s="1476"/>
      <c r="Y45" s="3203"/>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203"/>
      <c r="Q46" s="1477">
        <f t="shared" si="11"/>
        <v>111</v>
      </c>
      <c r="R46" s="1478" t="s">
        <v>8</v>
      </c>
      <c r="S46" s="1479">
        <f t="shared" si="12"/>
        <v>100</v>
      </c>
      <c r="T46" s="1478" t="s">
        <v>8</v>
      </c>
      <c r="U46" s="1479">
        <f t="shared" si="13"/>
        <v>100</v>
      </c>
      <c r="V46" s="1478" t="s">
        <v>8</v>
      </c>
      <c r="W46" s="1479">
        <f t="shared" si="14"/>
        <v>100</v>
      </c>
      <c r="X46" s="1473"/>
      <c r="Y46" s="3203"/>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83"/>
      <c r="Q47" s="1477">
        <f t="shared" si="11"/>
        <v>111</v>
      </c>
      <c r="R47" s="1478" t="s">
        <v>8</v>
      </c>
      <c r="S47" s="1479">
        <f t="shared" si="12"/>
        <v>100</v>
      </c>
      <c r="T47" s="1478" t="s">
        <v>8</v>
      </c>
      <c r="U47" s="1479">
        <f t="shared" si="13"/>
        <v>100</v>
      </c>
      <c r="V47" s="1478" t="s">
        <v>8</v>
      </c>
      <c r="W47" s="1479">
        <f t="shared" si="14"/>
        <v>100</v>
      </c>
      <c r="X47" s="1473"/>
      <c r="Y47" s="3283"/>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164" t="str">
        <f>A48</f>
        <v>成交单价（元/平方米）</v>
      </c>
      <c r="Q48" s="3166"/>
      <c r="R48" s="3167">
        <f>E48</f>
        <v>0</v>
      </c>
      <c r="S48" s="3167"/>
      <c r="T48" s="3167">
        <f>G48</f>
        <v>0</v>
      </c>
      <c r="U48" s="3167"/>
      <c r="V48" s="3167">
        <f>I48</f>
        <v>0</v>
      </c>
      <c r="W48" s="3167"/>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164" t="str">
        <f>A49</f>
        <v>比较价格（元/平方米）</v>
      </c>
      <c r="Q49" s="3166"/>
      <c r="R49" s="3167" t="e">
        <f>IF(F1="售价",ROUND(PRODUCT(R48,AA7:AA47),0),ROUND(PRODUCT(R48,AA7:AA47),1))</f>
        <v>#DIV/0!</v>
      </c>
      <c r="S49" s="3167"/>
      <c r="T49" s="3167" t="e">
        <f>IF(F1="售价",ROUND(PRODUCT(T48,AB7:AB47),0),ROUND(PRODUCT(T48,AB7:AB47),1))</f>
        <v>#DIV/0!</v>
      </c>
      <c r="U49" s="3167"/>
      <c r="V49" s="3167" t="e">
        <f>IF(F1="售价",ROUND(PRODUCT(V48,AC7:AC47),0),ROUND(PRODUCT(V48,AC7:AC47),1))</f>
        <v>#DIV/0!</v>
      </c>
      <c r="W49" s="3167"/>
      <c r="X49" s="833"/>
      <c r="Y49" s="833"/>
      <c r="Z49" s="833"/>
      <c r="AA49" s="833"/>
      <c r="AB49" s="833"/>
      <c r="AC49" s="833"/>
    </row>
    <row r="50" spans="1:29" ht="15.75" thickBot="1">
      <c r="A50" s="597" t="s">
        <v>2933</v>
      </c>
      <c r="B50" s="598"/>
      <c r="C50" s="496" t="e">
        <f>R50</f>
        <v>#DIV/0!</v>
      </c>
      <c r="D50" s="496"/>
      <c r="E50" s="496"/>
      <c r="F50" s="496"/>
      <c r="G50" s="496"/>
      <c r="H50" s="496"/>
      <c r="I50" s="496"/>
      <c r="J50" s="496"/>
      <c r="K50" s="1512"/>
      <c r="L50" s="1995"/>
      <c r="M50" s="1986"/>
      <c r="N50" s="1986"/>
      <c r="O50" s="1986"/>
      <c r="P50" s="3284" t="str">
        <f>A50</f>
        <v>估价对象XX用房的比较价格（楼面单价，元/平方米）</v>
      </c>
      <c r="Q50" s="3164"/>
      <c r="R50" s="3282" t="e">
        <f>IF(F1="售价",ROUND(AVERAGE(R49:V49),0),ROUND(AVERAGE(R49:V49),1))</f>
        <v>#DIV/0!</v>
      </c>
      <c r="S50" s="3282"/>
      <c r="T50" s="3282"/>
      <c r="U50" s="3282"/>
      <c r="V50" s="3282"/>
      <c r="W50" s="3282"/>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2024-2</v>
      </c>
      <c r="D59" s="2552">
        <f>EDATE(C59,-1)</f>
        <v>45292</v>
      </c>
      <c r="E59" s="2552">
        <f t="shared" ref="E59:O59" si="16">EDATE(D59,-1)</f>
        <v>45261</v>
      </c>
      <c r="F59" s="2552">
        <f t="shared" si="16"/>
        <v>45231</v>
      </c>
      <c r="G59" s="2552">
        <f t="shared" si="16"/>
        <v>45200</v>
      </c>
      <c r="H59" s="2552">
        <f t="shared" si="16"/>
        <v>45170</v>
      </c>
      <c r="I59" s="2552">
        <f t="shared" si="16"/>
        <v>45139</v>
      </c>
      <c r="J59" s="2552">
        <f t="shared" si="16"/>
        <v>45108</v>
      </c>
      <c r="K59" s="2552">
        <f t="shared" si="16"/>
        <v>45078</v>
      </c>
      <c r="L59" s="2552">
        <f t="shared" si="16"/>
        <v>45047</v>
      </c>
      <c r="M59" s="2552">
        <f t="shared" si="16"/>
        <v>45017</v>
      </c>
      <c r="N59" s="2552">
        <f t="shared" si="16"/>
        <v>44986</v>
      </c>
      <c r="O59" s="2552">
        <f t="shared" si="16"/>
        <v>44958</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72" t="s">
        <v>522</v>
      </c>
      <c r="D4" s="3173"/>
      <c r="E4" s="3206" t="s">
        <v>523</v>
      </c>
      <c r="F4" s="3207"/>
      <c r="G4" s="3172" t="s">
        <v>524</v>
      </c>
      <c r="H4" s="3173"/>
      <c r="I4" s="3172" t="s">
        <v>525</v>
      </c>
      <c r="J4" s="3173"/>
      <c r="K4" s="492" t="s">
        <v>526</v>
      </c>
      <c r="L4" s="1985"/>
      <c r="M4" s="1986"/>
      <c r="N4" s="1986"/>
      <c r="O4" s="1986"/>
      <c r="P4" s="3174" t="s">
        <v>527</v>
      </c>
      <c r="Q4" s="3175"/>
      <c r="R4" s="3180" t="s">
        <v>523</v>
      </c>
      <c r="S4" s="3181"/>
      <c r="T4" s="3180" t="s">
        <v>524</v>
      </c>
      <c r="U4" s="3181"/>
      <c r="V4" s="3167" t="s">
        <v>525</v>
      </c>
      <c r="W4" s="3167"/>
      <c r="X4" s="1473"/>
      <c r="Y4" s="3180" t="s">
        <v>527</v>
      </c>
      <c r="Z4" s="3181"/>
      <c r="AA4" s="3169" t="s">
        <v>523</v>
      </c>
      <c r="AB4" s="3170" t="s">
        <v>524</v>
      </c>
      <c r="AC4" s="3169" t="s">
        <v>525</v>
      </c>
    </row>
    <row r="5" spans="1:29" ht="15">
      <c r="A5" s="493"/>
      <c r="B5" s="494"/>
      <c r="C5" s="3188" t="s">
        <v>2927</v>
      </c>
      <c r="D5" s="3189"/>
      <c r="E5" s="3208" t="s">
        <v>2928</v>
      </c>
      <c r="F5" s="3209"/>
      <c r="G5" s="3188" t="s">
        <v>2929</v>
      </c>
      <c r="H5" s="3189"/>
      <c r="I5" s="3188" t="s">
        <v>2930</v>
      </c>
      <c r="J5" s="3189"/>
      <c r="K5" s="492"/>
      <c r="L5" s="1985"/>
      <c r="M5" s="1986"/>
      <c r="N5" s="1986"/>
      <c r="O5" s="1986"/>
      <c r="P5" s="3176"/>
      <c r="Q5" s="3177"/>
      <c r="R5" s="3182"/>
      <c r="S5" s="3183"/>
      <c r="T5" s="3182"/>
      <c r="U5" s="3183"/>
      <c r="V5" s="3167"/>
      <c r="W5" s="3167"/>
      <c r="X5" s="1473"/>
      <c r="Y5" s="3182"/>
      <c r="Z5" s="3183"/>
      <c r="AA5" s="3170"/>
      <c r="AB5" s="3170"/>
      <c r="AC5" s="3170"/>
    </row>
    <row r="6" spans="1:29" ht="15.75" thickBot="1">
      <c r="A6" s="495"/>
      <c r="B6" s="496"/>
      <c r="C6" s="3186" t="s">
        <v>2931</v>
      </c>
      <c r="D6" s="3187"/>
      <c r="E6" s="3204" t="s">
        <v>2931</v>
      </c>
      <c r="F6" s="3205"/>
      <c r="G6" s="3186" t="s">
        <v>2931</v>
      </c>
      <c r="H6" s="3187"/>
      <c r="I6" s="3186" t="s">
        <v>2931</v>
      </c>
      <c r="J6" s="3187"/>
      <c r="K6" s="492" t="s">
        <v>528</v>
      </c>
      <c r="L6" s="1985"/>
      <c r="M6" s="1986"/>
      <c r="N6" s="1986"/>
      <c r="O6" s="1986"/>
      <c r="P6" s="3178"/>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97" t="s">
        <v>530</v>
      </c>
      <c r="Q7" s="3199"/>
      <c r="R7" s="1474" t="s">
        <v>8</v>
      </c>
      <c r="S7" s="1475">
        <f t="shared" ref="S7:S15" si="0">F7</f>
        <v>0</v>
      </c>
      <c r="T7" s="1474" t="s">
        <v>8</v>
      </c>
      <c r="U7" s="1475">
        <f t="shared" ref="U7:U15" si="1">H7</f>
        <v>0</v>
      </c>
      <c r="V7" s="1474" t="s">
        <v>8</v>
      </c>
      <c r="W7" s="1475">
        <f t="shared" ref="W7:W15"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97" t="s">
        <v>533</v>
      </c>
      <c r="Q8" s="3198"/>
      <c r="R8" s="1474" t="s">
        <v>8</v>
      </c>
      <c r="S8" s="1475">
        <f t="shared" si="0"/>
        <v>0</v>
      </c>
      <c r="T8" s="1474" t="s">
        <v>8</v>
      </c>
      <c r="U8" s="1475">
        <f t="shared" si="1"/>
        <v>0</v>
      </c>
      <c r="V8" s="1474" t="s">
        <v>8</v>
      </c>
      <c r="W8" s="1475">
        <f t="shared" si="2"/>
        <v>0</v>
      </c>
      <c r="X8" s="1476"/>
      <c r="Y8" s="3197" t="s">
        <v>533</v>
      </c>
      <c r="Z8" s="3198"/>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66" t="s">
        <v>535</v>
      </c>
      <c r="Q9" s="852" t="str">
        <f t="shared" ref="Q9:Q15" si="6">B9</f>
        <v>用途</v>
      </c>
      <c r="R9" s="1474" t="s">
        <v>8</v>
      </c>
      <c r="S9" s="1475">
        <f t="shared" si="0"/>
        <v>100</v>
      </c>
      <c r="T9" s="1474" t="s">
        <v>8</v>
      </c>
      <c r="U9" s="1475">
        <f t="shared" si="1"/>
        <v>100</v>
      </c>
      <c r="V9" s="1474" t="s">
        <v>8</v>
      </c>
      <c r="W9" s="1475">
        <f t="shared" si="2"/>
        <v>100</v>
      </c>
      <c r="X9" s="1476"/>
      <c r="Y9" s="3112"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66"/>
      <c r="Q11" s="852" t="str">
        <f t="shared" si="6"/>
        <v>容积率</v>
      </c>
      <c r="R11" s="1474" t="s">
        <v>8</v>
      </c>
      <c r="S11" s="1475" t="e">
        <f t="shared" si="0"/>
        <v>#N/A</v>
      </c>
      <c r="T11" s="1474" t="s">
        <v>8</v>
      </c>
      <c r="U11" s="1475" t="e">
        <f t="shared" si="1"/>
        <v>#N/A</v>
      </c>
      <c r="V11" s="1474" t="s">
        <v>8</v>
      </c>
      <c r="W11" s="1475" t="e">
        <f t="shared" si="2"/>
        <v>#N/A</v>
      </c>
      <c r="X11" s="1476"/>
      <c r="Y11" s="3112"/>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66"/>
      <c r="Q14" s="852">
        <f t="shared" si="6"/>
        <v>111</v>
      </c>
      <c r="R14" s="1474" t="s">
        <v>8</v>
      </c>
      <c r="S14" s="1475">
        <f t="shared" si="0"/>
        <v>100</v>
      </c>
      <c r="T14" s="1474" t="s">
        <v>8</v>
      </c>
      <c r="U14" s="1475">
        <f t="shared" si="1"/>
        <v>100</v>
      </c>
      <c r="V14" s="1474" t="s">
        <v>8</v>
      </c>
      <c r="W14" s="1475">
        <f t="shared" si="2"/>
        <v>100</v>
      </c>
      <c r="X14" s="1476"/>
      <c r="Y14" s="3112"/>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200" t="s">
        <v>540</v>
      </c>
      <c r="Q15" s="1477" t="str">
        <f t="shared" si="6"/>
        <v>产业集聚程度</v>
      </c>
      <c r="R15" s="1478" t="s">
        <v>8</v>
      </c>
      <c r="S15" s="1479">
        <f t="shared" si="0"/>
        <v>100</v>
      </c>
      <c r="T15" s="1478" t="s">
        <v>8</v>
      </c>
      <c r="U15" s="1479">
        <f t="shared" si="1"/>
        <v>100</v>
      </c>
      <c r="V15" s="1478" t="s">
        <v>8</v>
      </c>
      <c r="W15" s="1479">
        <f t="shared" si="2"/>
        <v>100</v>
      </c>
      <c r="X15" s="1473"/>
      <c r="Y15" s="3200"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1"/>
      <c r="Q16" s="1477"/>
      <c r="R16" s="1478"/>
      <c r="S16" s="1479"/>
      <c r="T16" s="1478"/>
      <c r="U16" s="1479"/>
      <c r="V16" s="1478"/>
      <c r="W16" s="1479"/>
      <c r="X16" s="1473"/>
      <c r="Y16" s="3201"/>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201"/>
      <c r="Q17" s="1477" t="str">
        <f>B17</f>
        <v>交通便捷度</v>
      </c>
      <c r="R17" s="1478" t="s">
        <v>8</v>
      </c>
      <c r="S17" s="1479">
        <f>F17</f>
        <v>100</v>
      </c>
      <c r="T17" s="1478" t="s">
        <v>8</v>
      </c>
      <c r="U17" s="1479">
        <f>H17</f>
        <v>100</v>
      </c>
      <c r="V17" s="1478" t="s">
        <v>8</v>
      </c>
      <c r="W17" s="1479">
        <f>J17</f>
        <v>100</v>
      </c>
      <c r="X17" s="1473"/>
      <c r="Y17" s="320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1"/>
      <c r="Q18" s="1477"/>
      <c r="R18" s="1478"/>
      <c r="S18" s="1479"/>
      <c r="T18" s="1478"/>
      <c r="U18" s="1479"/>
      <c r="V18" s="1478"/>
      <c r="W18" s="1479"/>
      <c r="X18" s="1473"/>
      <c r="Y18" s="3201"/>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201"/>
      <c r="Q19" s="1477" t="str">
        <f>B19</f>
        <v>公共配套设施</v>
      </c>
      <c r="R19" s="1478" t="s">
        <v>8</v>
      </c>
      <c r="S19" s="1479">
        <f>F19</f>
        <v>100</v>
      </c>
      <c r="T19" s="1478" t="s">
        <v>8</v>
      </c>
      <c r="U19" s="1479">
        <f>H19</f>
        <v>100</v>
      </c>
      <c r="V19" s="1478" t="s">
        <v>8</v>
      </c>
      <c r="W19" s="1479">
        <f>J19</f>
        <v>100</v>
      </c>
      <c r="X19" s="1473"/>
      <c r="Y19" s="3201"/>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201"/>
      <c r="Q20" s="1477"/>
      <c r="R20" s="1478"/>
      <c r="S20" s="1479"/>
      <c r="T20" s="1478"/>
      <c r="U20" s="1479"/>
      <c r="V20" s="1478"/>
      <c r="W20" s="1479"/>
      <c r="X20" s="1473"/>
      <c r="Y20" s="3201"/>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201"/>
      <c r="Q21" s="1477" t="str">
        <f>B21</f>
        <v>基础设施水平</v>
      </c>
      <c r="R21" s="1478" t="s">
        <v>8</v>
      </c>
      <c r="S21" s="1479">
        <f>F21</f>
        <v>100</v>
      </c>
      <c r="T21" s="1478" t="s">
        <v>8</v>
      </c>
      <c r="U21" s="1479">
        <f>H21</f>
        <v>100</v>
      </c>
      <c r="V21" s="1478" t="s">
        <v>8</v>
      </c>
      <c r="W21" s="1479">
        <f>J21</f>
        <v>100</v>
      </c>
      <c r="X21" s="1473"/>
      <c r="Y21" s="3201"/>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201"/>
      <c r="Q22" s="1477"/>
      <c r="R22" s="1478"/>
      <c r="S22" s="1479"/>
      <c r="T22" s="1478"/>
      <c r="U22" s="1479"/>
      <c r="V22" s="1478"/>
      <c r="W22" s="1479"/>
      <c r="X22" s="1473"/>
      <c r="Y22" s="3201"/>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201"/>
      <c r="Q23" s="1477" t="str">
        <f>B23</f>
        <v>环境质量</v>
      </c>
      <c r="R23" s="1478" t="s">
        <v>8</v>
      </c>
      <c r="S23" s="1479">
        <f>F23</f>
        <v>100</v>
      </c>
      <c r="T23" s="1478" t="s">
        <v>8</v>
      </c>
      <c r="U23" s="1479">
        <f>H23</f>
        <v>100</v>
      </c>
      <c r="V23" s="1478" t="s">
        <v>8</v>
      </c>
      <c r="W23" s="1479">
        <f>J23</f>
        <v>100</v>
      </c>
      <c r="X23" s="1473"/>
      <c r="Y23" s="3201"/>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201"/>
      <c r="Q24" s="1477"/>
      <c r="R24" s="1478"/>
      <c r="S24" s="1479"/>
      <c r="T24" s="1478"/>
      <c r="U24" s="1479"/>
      <c r="V24" s="1478"/>
      <c r="W24" s="1479"/>
      <c r="X24" s="1473"/>
      <c r="Y24" s="3201"/>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201"/>
      <c r="Q25" s="1477">
        <f>B25</f>
        <v>111</v>
      </c>
      <c r="R25" s="1478" t="s">
        <v>8</v>
      </c>
      <c r="S25" s="1479">
        <f>F25</f>
        <v>100</v>
      </c>
      <c r="T25" s="1478" t="s">
        <v>8</v>
      </c>
      <c r="U25" s="1479">
        <f>H25</f>
        <v>100</v>
      </c>
      <c r="V25" s="1478" t="s">
        <v>8</v>
      </c>
      <c r="W25" s="1479">
        <f>J25</f>
        <v>100</v>
      </c>
      <c r="X25" s="1473"/>
      <c r="Y25" s="3201"/>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201"/>
      <c r="Q26" s="1477">
        <f t="shared" ref="Q26:Q40" si="11">B26</f>
        <v>111</v>
      </c>
      <c r="R26" s="1478" t="s">
        <v>8</v>
      </c>
      <c r="S26" s="1479">
        <f>F26</f>
        <v>100</v>
      </c>
      <c r="T26" s="1478" t="s">
        <v>8</v>
      </c>
      <c r="U26" s="1479">
        <f>H26</f>
        <v>100</v>
      </c>
      <c r="V26" s="1478" t="s">
        <v>8</v>
      </c>
      <c r="W26" s="1479">
        <f>J26</f>
        <v>100</v>
      </c>
      <c r="X26" s="1473"/>
      <c r="Y26" s="3201"/>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201"/>
      <c r="Q27" s="852">
        <f t="shared" si="11"/>
        <v>111</v>
      </c>
      <c r="R27" s="1474" t="s">
        <v>8</v>
      </c>
      <c r="S27" s="1475">
        <f>F27</f>
        <v>100</v>
      </c>
      <c r="T27" s="1474" t="s">
        <v>8</v>
      </c>
      <c r="U27" s="1475">
        <f>H27</f>
        <v>100</v>
      </c>
      <c r="V27" s="1474" t="s">
        <v>8</v>
      </c>
      <c r="W27" s="1475">
        <f>J27</f>
        <v>100</v>
      </c>
      <c r="X27" s="1476"/>
      <c r="Y27" s="3201"/>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201"/>
      <c r="Q28" s="1477">
        <f t="shared" si="11"/>
        <v>111</v>
      </c>
      <c r="R28" s="1478" t="s">
        <v>8</v>
      </c>
      <c r="S28" s="1479">
        <f t="shared" ref="S28:S40" si="12">F28</f>
        <v>100</v>
      </c>
      <c r="T28" s="1478" t="s">
        <v>8</v>
      </c>
      <c r="U28" s="1479">
        <f t="shared" ref="U28:U40" si="13">H28</f>
        <v>100</v>
      </c>
      <c r="V28" s="1478" t="s">
        <v>8</v>
      </c>
      <c r="W28" s="1479">
        <f t="shared" ref="W28:W40" si="14">J28</f>
        <v>100</v>
      </c>
      <c r="X28" s="1473"/>
      <c r="Y28" s="3201"/>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202" t="s">
        <v>550</v>
      </c>
      <c r="Q29" s="1477" t="str">
        <f t="shared" si="11"/>
        <v>建筑类型</v>
      </c>
      <c r="R29" s="1478" t="s">
        <v>8</v>
      </c>
      <c r="S29" s="1479">
        <f t="shared" si="12"/>
        <v>100</v>
      </c>
      <c r="T29" s="1478" t="s">
        <v>8</v>
      </c>
      <c r="U29" s="1479">
        <f t="shared" si="13"/>
        <v>100</v>
      </c>
      <c r="V29" s="1478" t="s">
        <v>8</v>
      </c>
      <c r="W29" s="1479">
        <f t="shared" si="14"/>
        <v>100</v>
      </c>
      <c r="X29" s="1473"/>
      <c r="Y29" s="3203"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203"/>
      <c r="Q30" s="853" t="str">
        <f t="shared" si="11"/>
        <v>项目建筑规模</v>
      </c>
      <c r="R30" s="1481" t="s">
        <v>8</v>
      </c>
      <c r="S30" s="1482" t="e">
        <f t="shared" si="12"/>
        <v>#N/A</v>
      </c>
      <c r="T30" s="1481" t="s">
        <v>8</v>
      </c>
      <c r="U30" s="1482" t="e">
        <f t="shared" si="13"/>
        <v>#N/A</v>
      </c>
      <c r="V30" s="1481" t="s">
        <v>8</v>
      </c>
      <c r="W30" s="1482" t="e">
        <f t="shared" si="14"/>
        <v>#N/A</v>
      </c>
      <c r="X30" s="1483"/>
      <c r="Y30" s="3203"/>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203"/>
      <c r="Q31" s="1477" t="str">
        <f t="shared" si="11"/>
        <v>建筑结构</v>
      </c>
      <c r="R31" s="1478" t="s">
        <v>8</v>
      </c>
      <c r="S31" s="1479">
        <f t="shared" si="12"/>
        <v>100</v>
      </c>
      <c r="T31" s="1478" t="s">
        <v>8</v>
      </c>
      <c r="U31" s="1479">
        <f t="shared" si="13"/>
        <v>100</v>
      </c>
      <c r="V31" s="1478" t="s">
        <v>8</v>
      </c>
      <c r="W31" s="1479">
        <f t="shared" si="14"/>
        <v>100</v>
      </c>
      <c r="X31" s="1473"/>
      <c r="Y31" s="3203"/>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203"/>
      <c r="Q32" s="1477" t="str">
        <f t="shared" si="11"/>
        <v>公共部分装修</v>
      </c>
      <c r="R32" s="1478" t="s">
        <v>8</v>
      </c>
      <c r="S32" s="1479">
        <f t="shared" si="12"/>
        <v>100</v>
      </c>
      <c r="T32" s="1478" t="s">
        <v>8</v>
      </c>
      <c r="U32" s="1479">
        <f t="shared" si="13"/>
        <v>100</v>
      </c>
      <c r="V32" s="1478" t="s">
        <v>8</v>
      </c>
      <c r="W32" s="1479">
        <f t="shared" si="14"/>
        <v>100</v>
      </c>
      <c r="X32" s="1473"/>
      <c r="Y32" s="3203"/>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203"/>
      <c r="Q33" s="1477" t="str">
        <f t="shared" si="11"/>
        <v>成新度</v>
      </c>
      <c r="R33" s="1478" t="s">
        <v>8</v>
      </c>
      <c r="S33" s="1479" t="e">
        <f t="shared" si="12"/>
        <v>#N/A</v>
      </c>
      <c r="T33" s="1478" t="s">
        <v>8</v>
      </c>
      <c r="U33" s="1479" t="e">
        <f t="shared" si="13"/>
        <v>#N/A</v>
      </c>
      <c r="V33" s="1478" t="s">
        <v>8</v>
      </c>
      <c r="W33" s="1479" t="e">
        <f t="shared" si="14"/>
        <v>#N/A</v>
      </c>
      <c r="X33" s="1473"/>
      <c r="Y33" s="3203"/>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203"/>
      <c r="Q34" s="852" t="str">
        <f t="shared" si="11"/>
        <v>物业管理</v>
      </c>
      <c r="R34" s="1474" t="s">
        <v>8</v>
      </c>
      <c r="S34" s="1475">
        <f t="shared" si="12"/>
        <v>100</v>
      </c>
      <c r="T34" s="1474" t="s">
        <v>8</v>
      </c>
      <c r="U34" s="1475">
        <f t="shared" si="13"/>
        <v>100</v>
      </c>
      <c r="V34" s="1474" t="s">
        <v>8</v>
      </c>
      <c r="W34" s="1475">
        <f t="shared" si="14"/>
        <v>100</v>
      </c>
      <c r="X34" s="1476"/>
      <c r="Y34" s="3203"/>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203" t="s">
        <v>550</v>
      </c>
      <c r="Q35" s="1477" t="str">
        <f t="shared" si="11"/>
        <v>市政基础设施</v>
      </c>
      <c r="R35" s="1478" t="s">
        <v>8</v>
      </c>
      <c r="S35" s="1479">
        <f t="shared" si="12"/>
        <v>100</v>
      </c>
      <c r="T35" s="1478" t="s">
        <v>8</v>
      </c>
      <c r="U35" s="1479">
        <f t="shared" si="13"/>
        <v>100</v>
      </c>
      <c r="V35" s="1478" t="s">
        <v>8</v>
      </c>
      <c r="W35" s="1479">
        <f t="shared" si="14"/>
        <v>100</v>
      </c>
      <c r="X35" s="1473"/>
      <c r="Y35" s="3203"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203"/>
      <c r="Q36" s="1477" t="str">
        <f t="shared" si="11"/>
        <v>内部装修</v>
      </c>
      <c r="R36" s="1478" t="s">
        <v>8</v>
      </c>
      <c r="S36" s="1479">
        <f t="shared" si="12"/>
        <v>100</v>
      </c>
      <c r="T36" s="1478" t="s">
        <v>8</v>
      </c>
      <c r="U36" s="1479">
        <f t="shared" si="13"/>
        <v>100</v>
      </c>
      <c r="V36" s="1478" t="s">
        <v>8</v>
      </c>
      <c r="W36" s="1479">
        <f t="shared" si="14"/>
        <v>100</v>
      </c>
      <c r="X36" s="1473"/>
      <c r="Y36" s="3203"/>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203"/>
      <c r="Q37" s="1477" t="str">
        <f t="shared" si="11"/>
        <v>内部装修状况</v>
      </c>
      <c r="R37" s="1478" t="s">
        <v>8</v>
      </c>
      <c r="S37" s="1479">
        <f t="shared" si="12"/>
        <v>100</v>
      </c>
      <c r="T37" s="1478" t="s">
        <v>8</v>
      </c>
      <c r="U37" s="1479">
        <f t="shared" si="13"/>
        <v>100</v>
      </c>
      <c r="V37" s="1478" t="s">
        <v>8</v>
      </c>
      <c r="W37" s="1479">
        <f t="shared" si="14"/>
        <v>100</v>
      </c>
      <c r="X37" s="1473"/>
      <c r="Y37" s="3203"/>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203"/>
      <c r="Q38" s="853">
        <f t="shared" si="11"/>
        <v>111</v>
      </c>
      <c r="R38" s="1481" t="s">
        <v>8</v>
      </c>
      <c r="S38" s="1482">
        <f t="shared" si="12"/>
        <v>100</v>
      </c>
      <c r="T38" s="1481" t="s">
        <v>8</v>
      </c>
      <c r="U38" s="1482">
        <f t="shared" si="13"/>
        <v>100</v>
      </c>
      <c r="V38" s="1481" t="s">
        <v>8</v>
      </c>
      <c r="W38" s="1482">
        <f t="shared" si="14"/>
        <v>100</v>
      </c>
      <c r="X38" s="1483"/>
      <c r="Y38" s="3203"/>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203"/>
      <c r="Q39" s="1477">
        <f t="shared" si="11"/>
        <v>111</v>
      </c>
      <c r="R39" s="1478" t="s">
        <v>8</v>
      </c>
      <c r="S39" s="1479">
        <f t="shared" si="12"/>
        <v>100</v>
      </c>
      <c r="T39" s="1478" t="s">
        <v>8</v>
      </c>
      <c r="U39" s="1479">
        <f t="shared" si="13"/>
        <v>100</v>
      </c>
      <c r="V39" s="1478" t="s">
        <v>8</v>
      </c>
      <c r="W39" s="1479">
        <f t="shared" si="14"/>
        <v>100</v>
      </c>
      <c r="X39" s="1473"/>
      <c r="Y39" s="3203"/>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83"/>
      <c r="Q40" s="1477">
        <f t="shared" si="11"/>
        <v>111</v>
      </c>
      <c r="R40" s="1478" t="s">
        <v>8</v>
      </c>
      <c r="S40" s="1479">
        <f t="shared" si="12"/>
        <v>100</v>
      </c>
      <c r="T40" s="1478" t="s">
        <v>8</v>
      </c>
      <c r="U40" s="1479">
        <f t="shared" si="13"/>
        <v>100</v>
      </c>
      <c r="V40" s="1478" t="s">
        <v>8</v>
      </c>
      <c r="W40" s="1479">
        <f t="shared" si="14"/>
        <v>100</v>
      </c>
      <c r="X40" s="1473"/>
      <c r="Y40" s="3283"/>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66" t="str">
        <f>A41</f>
        <v>成交单价（元/平方米）</v>
      </c>
      <c r="Q41" s="3166"/>
      <c r="R41" s="3167">
        <f>E41</f>
        <v>0</v>
      </c>
      <c r="S41" s="3167"/>
      <c r="T41" s="3167">
        <f>G41</f>
        <v>0</v>
      </c>
      <c r="U41" s="3167"/>
      <c r="V41" s="3167">
        <f>I41</f>
        <v>0</v>
      </c>
      <c r="W41" s="3167"/>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66" t="str">
        <f>A42</f>
        <v>比较价格（元/平方米）</v>
      </c>
      <c r="Q42" s="3166"/>
      <c r="R42" s="3167" t="e">
        <f>IF(F1="售价",ROUND(PRODUCT(R41,AA7:AA40),0),ROUND(PRODUCT(R41,AA7:AA40),1))</f>
        <v>#DIV/0!</v>
      </c>
      <c r="S42" s="3167"/>
      <c r="T42" s="3167" t="e">
        <f>IF(F1="售价",ROUND(PRODUCT(T41,AB7:AB40),0),ROUND(PRODUCT(T41,AB7:AB40),1))</f>
        <v>#DIV/0!</v>
      </c>
      <c r="U42" s="3167"/>
      <c r="V42" s="3167" t="e">
        <f>IF(F1="售价",ROUND(PRODUCT(V41,AC7:AC40),0),ROUND(PRODUCT(V41,AC7:AC40),1))</f>
        <v>#DIV/0!</v>
      </c>
      <c r="W42" s="3167"/>
      <c r="X42" s="833"/>
      <c r="Y42" s="833"/>
      <c r="Z42" s="833"/>
      <c r="AA42" s="833"/>
      <c r="AB42" s="833"/>
      <c r="AC42" s="833"/>
    </row>
    <row r="43" spans="1:29" ht="15.75" thickBot="1">
      <c r="A43" s="597" t="s">
        <v>2933</v>
      </c>
      <c r="B43" s="598"/>
      <c r="C43" s="496" t="e">
        <f>R43</f>
        <v>#DIV/0!</v>
      </c>
      <c r="D43" s="496"/>
      <c r="E43" s="496"/>
      <c r="F43" s="496"/>
      <c r="G43" s="496"/>
      <c r="H43" s="496"/>
      <c r="I43" s="496"/>
      <c r="J43" s="496"/>
      <c r="K43" s="1512"/>
      <c r="L43" s="1995"/>
      <c r="M43" s="1986"/>
      <c r="N43" s="1986"/>
      <c r="O43" s="1986"/>
      <c r="P43" s="3163" t="str">
        <f>A43</f>
        <v>估价对象XX用房的比较价格（楼面单价，元/平方米）</v>
      </c>
      <c r="Q43" s="3164"/>
      <c r="R43" s="3282" t="e">
        <f>IF(F1="售价",ROUND(AVERAGE(R42:V42),0),ROUND(AVERAGE(R42:V42),1))</f>
        <v>#DIV/0!</v>
      </c>
      <c r="S43" s="3282"/>
      <c r="T43" s="3282"/>
      <c r="U43" s="3282"/>
      <c r="V43" s="3282"/>
      <c r="W43" s="3282"/>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2024-2</v>
      </c>
      <c r="D52" s="2552">
        <f>EDATE(C52,-1)</f>
        <v>45292</v>
      </c>
      <c r="E52" s="2552">
        <f t="shared" ref="E52:O52" si="16">EDATE(D52,-1)</f>
        <v>45261</v>
      </c>
      <c r="F52" s="2552">
        <f t="shared" si="16"/>
        <v>45231</v>
      </c>
      <c r="G52" s="2552">
        <f t="shared" si="16"/>
        <v>45200</v>
      </c>
      <c r="H52" s="2552">
        <f t="shared" si="16"/>
        <v>45170</v>
      </c>
      <c r="I52" s="2552">
        <f t="shared" si="16"/>
        <v>45139</v>
      </c>
      <c r="J52" s="2552">
        <f t="shared" si="16"/>
        <v>45108</v>
      </c>
      <c r="K52" s="2552">
        <f t="shared" si="16"/>
        <v>45078</v>
      </c>
      <c r="L52" s="2552">
        <f t="shared" si="16"/>
        <v>45047</v>
      </c>
      <c r="M52" s="2552">
        <f t="shared" si="16"/>
        <v>45017</v>
      </c>
      <c r="N52" s="2552">
        <f t="shared" si="16"/>
        <v>44986</v>
      </c>
      <c r="O52" s="2552">
        <f t="shared" si="16"/>
        <v>44958</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72" t="s">
        <v>798</v>
      </c>
      <c r="D4" s="3173"/>
      <c r="E4" s="3172" t="s">
        <v>799</v>
      </c>
      <c r="F4" s="3173"/>
      <c r="G4" s="3172" t="s">
        <v>800</v>
      </c>
      <c r="H4" s="3173"/>
      <c r="I4" s="3172" t="s">
        <v>801</v>
      </c>
      <c r="J4" s="3173"/>
      <c r="K4" s="492" t="s">
        <v>802</v>
      </c>
      <c r="L4" s="1985"/>
      <c r="M4" s="1986"/>
      <c r="N4" s="1986"/>
      <c r="O4" s="1986"/>
      <c r="P4" s="3174" t="s">
        <v>803</v>
      </c>
      <c r="Q4" s="3175"/>
      <c r="R4" s="3180" t="s">
        <v>799</v>
      </c>
      <c r="S4" s="3181"/>
      <c r="T4" s="3180" t="s">
        <v>800</v>
      </c>
      <c r="U4" s="3181"/>
      <c r="V4" s="3167" t="s">
        <v>801</v>
      </c>
      <c r="W4" s="3167"/>
      <c r="X4" s="1473"/>
      <c r="Y4" s="3180" t="s">
        <v>803</v>
      </c>
      <c r="Z4" s="3181"/>
      <c r="AA4" s="3169" t="s">
        <v>799</v>
      </c>
      <c r="AB4" s="3170" t="s">
        <v>800</v>
      </c>
      <c r="AC4" s="3169" t="s">
        <v>801</v>
      </c>
    </row>
    <row r="5" spans="1:29" ht="15">
      <c r="A5" s="493"/>
      <c r="B5" s="494"/>
      <c r="C5" s="3188" t="s">
        <v>2927</v>
      </c>
      <c r="D5" s="3189"/>
      <c r="E5" s="3188" t="s">
        <v>2928</v>
      </c>
      <c r="F5" s="3189"/>
      <c r="G5" s="3188" t="s">
        <v>2929</v>
      </c>
      <c r="H5" s="3189"/>
      <c r="I5" s="3188" t="s">
        <v>2930</v>
      </c>
      <c r="J5" s="3189"/>
      <c r="K5" s="492"/>
      <c r="L5" s="1985"/>
      <c r="M5" s="1986"/>
      <c r="N5" s="1986"/>
      <c r="O5" s="1986"/>
      <c r="P5" s="3176"/>
      <c r="Q5" s="3177"/>
      <c r="R5" s="3182"/>
      <c r="S5" s="3183"/>
      <c r="T5" s="3182"/>
      <c r="U5" s="3183"/>
      <c r="V5" s="3167"/>
      <c r="W5" s="3167"/>
      <c r="X5" s="1473"/>
      <c r="Y5" s="3182"/>
      <c r="Z5" s="3183"/>
      <c r="AA5" s="3170"/>
      <c r="AB5" s="3170"/>
      <c r="AC5" s="3170"/>
    </row>
    <row r="6" spans="1:29" ht="15.75" thickBot="1">
      <c r="A6" s="495"/>
      <c r="B6" s="496"/>
      <c r="C6" s="3186" t="s">
        <v>2931</v>
      </c>
      <c r="D6" s="3187"/>
      <c r="E6" s="3190" t="s">
        <v>2931</v>
      </c>
      <c r="F6" s="3191"/>
      <c r="G6" s="3186" t="s">
        <v>2931</v>
      </c>
      <c r="H6" s="3187"/>
      <c r="I6" s="3186" t="s">
        <v>2931</v>
      </c>
      <c r="J6" s="3187"/>
      <c r="K6" s="492" t="s">
        <v>528</v>
      </c>
      <c r="L6" s="1985"/>
      <c r="M6" s="1986"/>
      <c r="N6" s="1986"/>
      <c r="O6" s="1986"/>
      <c r="P6" s="3178"/>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97" t="s">
        <v>530</v>
      </c>
      <c r="Q7" s="3199"/>
      <c r="R7" s="1474" t="s">
        <v>8</v>
      </c>
      <c r="S7" s="1475">
        <f t="shared" ref="S7:S14" si="0">F7</f>
        <v>0</v>
      </c>
      <c r="T7" s="1474" t="s">
        <v>8</v>
      </c>
      <c r="U7" s="1475">
        <f t="shared" ref="U7:U14" si="1">H7</f>
        <v>0</v>
      </c>
      <c r="V7" s="1474" t="s">
        <v>8</v>
      </c>
      <c r="W7" s="1475">
        <f t="shared" ref="W7:W14"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97" t="s">
        <v>533</v>
      </c>
      <c r="Q8" s="3198"/>
      <c r="R8" s="1474" t="s">
        <v>8</v>
      </c>
      <c r="S8" s="1475">
        <f t="shared" si="0"/>
        <v>0</v>
      </c>
      <c r="T8" s="1474" t="s">
        <v>8</v>
      </c>
      <c r="U8" s="1475">
        <f t="shared" si="1"/>
        <v>0</v>
      </c>
      <c r="V8" s="1474" t="s">
        <v>8</v>
      </c>
      <c r="W8" s="1475">
        <f t="shared" si="2"/>
        <v>0</v>
      </c>
      <c r="X8" s="1476"/>
      <c r="Y8" s="3197" t="s">
        <v>533</v>
      </c>
      <c r="Z8" s="3198"/>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66" t="s">
        <v>535</v>
      </c>
      <c r="Q9" s="852" t="str">
        <f t="shared" ref="Q9:Q14" si="6">B9</f>
        <v>用途</v>
      </c>
      <c r="R9" s="1474" t="s">
        <v>8</v>
      </c>
      <c r="S9" s="1475">
        <f t="shared" si="0"/>
        <v>100</v>
      </c>
      <c r="T9" s="1474" t="s">
        <v>8</v>
      </c>
      <c r="U9" s="1475">
        <f t="shared" si="1"/>
        <v>100</v>
      </c>
      <c r="V9" s="1474" t="s">
        <v>8</v>
      </c>
      <c r="W9" s="1475">
        <f t="shared" si="2"/>
        <v>100</v>
      </c>
      <c r="X9" s="1476"/>
      <c r="Y9" s="3112"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66"/>
      <c r="Q11" s="852">
        <f t="shared" si="6"/>
        <v>111</v>
      </c>
      <c r="R11" s="1474" t="s">
        <v>8</v>
      </c>
      <c r="S11" s="1475">
        <f t="shared" si="0"/>
        <v>100</v>
      </c>
      <c r="T11" s="1474" t="s">
        <v>8</v>
      </c>
      <c r="U11" s="1475">
        <f t="shared" si="1"/>
        <v>100</v>
      </c>
      <c r="V11" s="1474" t="s">
        <v>8</v>
      </c>
      <c r="W11" s="1475">
        <f t="shared" si="2"/>
        <v>100</v>
      </c>
      <c r="X11" s="1476"/>
      <c r="Y11" s="3112"/>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200" t="s">
        <v>540</v>
      </c>
      <c r="Q14" s="1477" t="str">
        <f t="shared" si="6"/>
        <v>交通便捷度</v>
      </c>
      <c r="R14" s="1478" t="s">
        <v>8</v>
      </c>
      <c r="S14" s="1479">
        <f t="shared" si="0"/>
        <v>100</v>
      </c>
      <c r="T14" s="1478" t="s">
        <v>8</v>
      </c>
      <c r="U14" s="1479">
        <f t="shared" si="1"/>
        <v>100</v>
      </c>
      <c r="V14" s="1478" t="s">
        <v>8</v>
      </c>
      <c r="W14" s="1479">
        <f t="shared" si="2"/>
        <v>100</v>
      </c>
      <c r="X14" s="1473"/>
      <c r="Y14" s="3200"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201"/>
      <c r="Q15" s="1477"/>
      <c r="R15" s="1478"/>
      <c r="S15" s="1479"/>
      <c r="T15" s="1478"/>
      <c r="U15" s="1479"/>
      <c r="V15" s="1478"/>
      <c r="W15" s="1479"/>
      <c r="X15" s="1473"/>
      <c r="Y15" s="3201"/>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201"/>
      <c r="Q16" s="1477" t="str">
        <f>B16</f>
        <v>公共配套设施</v>
      </c>
      <c r="R16" s="1478" t="s">
        <v>8</v>
      </c>
      <c r="S16" s="1479">
        <f>F16</f>
        <v>100</v>
      </c>
      <c r="T16" s="1478" t="s">
        <v>8</v>
      </c>
      <c r="U16" s="1479">
        <f>H16</f>
        <v>100</v>
      </c>
      <c r="V16" s="1478" t="s">
        <v>8</v>
      </c>
      <c r="W16" s="1479">
        <f>J16</f>
        <v>100</v>
      </c>
      <c r="X16" s="1473"/>
      <c r="Y16" s="3201"/>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201"/>
      <c r="Q17" s="1477"/>
      <c r="R17" s="1478"/>
      <c r="S17" s="1479"/>
      <c r="T17" s="1478"/>
      <c r="U17" s="1479"/>
      <c r="V17" s="1478"/>
      <c r="W17" s="1479"/>
      <c r="X17" s="1473"/>
      <c r="Y17" s="3201"/>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201"/>
      <c r="Q18" s="1477" t="str">
        <f>B18</f>
        <v>基础设施水平</v>
      </c>
      <c r="R18" s="1478" t="s">
        <v>8</v>
      </c>
      <c r="S18" s="1479">
        <f>F18</f>
        <v>100</v>
      </c>
      <c r="T18" s="1478" t="s">
        <v>8</v>
      </c>
      <c r="U18" s="1479">
        <f>H18</f>
        <v>100</v>
      </c>
      <c r="V18" s="1478" t="s">
        <v>8</v>
      </c>
      <c r="W18" s="1479">
        <f>J18</f>
        <v>100</v>
      </c>
      <c r="X18" s="1473"/>
      <c r="Y18" s="3201"/>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201"/>
      <c r="Q19" s="1477"/>
      <c r="R19" s="1478"/>
      <c r="S19" s="1479"/>
      <c r="T19" s="1478"/>
      <c r="U19" s="1479"/>
      <c r="V19" s="1478"/>
      <c r="W19" s="1479"/>
      <c r="X19" s="1473"/>
      <c r="Y19" s="3201"/>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201"/>
      <c r="Q20" s="1477" t="str">
        <f>B20</f>
        <v>自然及人文环境</v>
      </c>
      <c r="R20" s="1478" t="s">
        <v>8</v>
      </c>
      <c r="S20" s="1479">
        <f>F20</f>
        <v>100</v>
      </c>
      <c r="T20" s="1478" t="s">
        <v>8</v>
      </c>
      <c r="U20" s="1479">
        <f>H20</f>
        <v>100</v>
      </c>
      <c r="V20" s="1478" t="s">
        <v>8</v>
      </c>
      <c r="W20" s="1479">
        <f>J20</f>
        <v>100</v>
      </c>
      <c r="X20" s="1473"/>
      <c r="Y20" s="3201"/>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201"/>
      <c r="Q21" s="1477"/>
      <c r="R21" s="1478"/>
      <c r="S21" s="1479"/>
      <c r="T21" s="1478"/>
      <c r="U21" s="1479"/>
      <c r="V21" s="1478"/>
      <c r="W21" s="1479"/>
      <c r="X21" s="1473"/>
      <c r="Y21" s="3201"/>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201"/>
      <c r="Q22" s="1477" t="str">
        <f>B22</f>
        <v>楼层</v>
      </c>
      <c r="R22" s="1478" t="s">
        <v>8</v>
      </c>
      <c r="S22" s="1479">
        <f>F22</f>
        <v>100</v>
      </c>
      <c r="T22" s="1478" t="s">
        <v>8</v>
      </c>
      <c r="U22" s="1479">
        <f>H22</f>
        <v>100</v>
      </c>
      <c r="V22" s="1478" t="s">
        <v>8</v>
      </c>
      <c r="W22" s="1479">
        <f>J22</f>
        <v>100</v>
      </c>
      <c r="X22" s="1473"/>
      <c r="Y22" s="3201"/>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201"/>
      <c r="Q23" s="1477">
        <f>B23</f>
        <v>111</v>
      </c>
      <c r="R23" s="1478" t="s">
        <v>8</v>
      </c>
      <c r="S23" s="1479">
        <f>F23</f>
        <v>100</v>
      </c>
      <c r="T23" s="1478" t="s">
        <v>8</v>
      </c>
      <c r="U23" s="1479">
        <f>H23</f>
        <v>100</v>
      </c>
      <c r="V23" s="1478" t="s">
        <v>8</v>
      </c>
      <c r="W23" s="1479">
        <f>J23</f>
        <v>100</v>
      </c>
      <c r="X23" s="1473"/>
      <c r="Y23" s="3201"/>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201"/>
      <c r="Q24" s="1477">
        <f t="shared" ref="Q24:Q36" si="11">B24</f>
        <v>111</v>
      </c>
      <c r="R24" s="1478" t="s">
        <v>8</v>
      </c>
      <c r="S24" s="1479">
        <f>F24</f>
        <v>100</v>
      </c>
      <c r="T24" s="1478" t="s">
        <v>8</v>
      </c>
      <c r="U24" s="1479">
        <f>H24</f>
        <v>100</v>
      </c>
      <c r="V24" s="1478" t="s">
        <v>8</v>
      </c>
      <c r="W24" s="1479">
        <f>J24</f>
        <v>100</v>
      </c>
      <c r="X24" s="1473"/>
      <c r="Y24" s="3201"/>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201"/>
      <c r="Q25" s="852">
        <f t="shared" si="11"/>
        <v>111</v>
      </c>
      <c r="R25" s="1474" t="s">
        <v>8</v>
      </c>
      <c r="S25" s="1475">
        <f>F25</f>
        <v>100</v>
      </c>
      <c r="T25" s="1474" t="s">
        <v>8</v>
      </c>
      <c r="U25" s="1475">
        <f>H25</f>
        <v>100</v>
      </c>
      <c r="V25" s="1474" t="s">
        <v>8</v>
      </c>
      <c r="W25" s="1475">
        <f>J25</f>
        <v>100</v>
      </c>
      <c r="X25" s="1476"/>
      <c r="Y25" s="3201"/>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202"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203"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203"/>
      <c r="Q27" s="853" t="str">
        <f t="shared" si="11"/>
        <v>项目停车位配比</v>
      </c>
      <c r="R27" s="1481" t="s">
        <v>8</v>
      </c>
      <c r="S27" s="1482">
        <f t="shared" si="12"/>
        <v>100</v>
      </c>
      <c r="T27" s="1481" t="s">
        <v>8</v>
      </c>
      <c r="U27" s="1482">
        <f t="shared" si="13"/>
        <v>100</v>
      </c>
      <c r="V27" s="1481" t="s">
        <v>8</v>
      </c>
      <c r="W27" s="1482">
        <f t="shared" si="14"/>
        <v>100</v>
      </c>
      <c r="X27" s="1483"/>
      <c r="Y27" s="3203"/>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203"/>
      <c r="Q28" s="1477" t="str">
        <f t="shared" si="11"/>
        <v>公共部分装修</v>
      </c>
      <c r="R28" s="1478" t="s">
        <v>8</v>
      </c>
      <c r="S28" s="1479">
        <f t="shared" si="12"/>
        <v>100</v>
      </c>
      <c r="T28" s="1478" t="s">
        <v>8</v>
      </c>
      <c r="U28" s="1479">
        <f t="shared" si="13"/>
        <v>100</v>
      </c>
      <c r="V28" s="1478" t="s">
        <v>8</v>
      </c>
      <c r="W28" s="1479">
        <f t="shared" si="14"/>
        <v>100</v>
      </c>
      <c r="X28" s="1473"/>
      <c r="Y28" s="3203"/>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203"/>
      <c r="Q29" s="1477" t="str">
        <f t="shared" si="11"/>
        <v>成新率</v>
      </c>
      <c r="R29" s="1478" t="s">
        <v>8</v>
      </c>
      <c r="S29" s="1479" t="e">
        <f t="shared" si="12"/>
        <v>#N/A</v>
      </c>
      <c r="T29" s="1478" t="s">
        <v>8</v>
      </c>
      <c r="U29" s="1479" t="e">
        <f t="shared" si="13"/>
        <v>#N/A</v>
      </c>
      <c r="V29" s="1478" t="s">
        <v>8</v>
      </c>
      <c r="W29" s="1479" t="e">
        <f t="shared" si="14"/>
        <v>#N/A</v>
      </c>
      <c r="X29" s="1473"/>
      <c r="Y29" s="3203"/>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203"/>
      <c r="Q30" s="1477" t="str">
        <f t="shared" si="11"/>
        <v>物业等级</v>
      </c>
      <c r="R30" s="1478" t="s">
        <v>8</v>
      </c>
      <c r="S30" s="1479">
        <f t="shared" si="12"/>
        <v>100</v>
      </c>
      <c r="T30" s="1478" t="s">
        <v>8</v>
      </c>
      <c r="U30" s="1479">
        <f t="shared" si="13"/>
        <v>100</v>
      </c>
      <c r="V30" s="1478" t="s">
        <v>8</v>
      </c>
      <c r="W30" s="1479">
        <f t="shared" si="14"/>
        <v>100</v>
      </c>
      <c r="X30" s="1473"/>
      <c r="Y30" s="3203"/>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203"/>
      <c r="Q31" s="852" t="str">
        <f t="shared" si="11"/>
        <v>停车位面积</v>
      </c>
      <c r="R31" s="1474" t="s">
        <v>8</v>
      </c>
      <c r="S31" s="1475" t="e">
        <f t="shared" si="12"/>
        <v>#N/A</v>
      </c>
      <c r="T31" s="1474" t="s">
        <v>8</v>
      </c>
      <c r="U31" s="1475" t="e">
        <f t="shared" si="13"/>
        <v>#N/A</v>
      </c>
      <c r="V31" s="1474" t="s">
        <v>8</v>
      </c>
      <c r="W31" s="1475" t="e">
        <f t="shared" si="14"/>
        <v>#N/A</v>
      </c>
      <c r="X31" s="1476"/>
      <c r="Y31" s="3203"/>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203" t="s">
        <v>550</v>
      </c>
      <c r="Q32" s="1477" t="str">
        <f t="shared" si="11"/>
        <v>车位类型</v>
      </c>
      <c r="R32" s="1478" t="s">
        <v>8</v>
      </c>
      <c r="S32" s="1479">
        <f t="shared" si="12"/>
        <v>100</v>
      </c>
      <c r="T32" s="1478" t="s">
        <v>8</v>
      </c>
      <c r="U32" s="1479">
        <f t="shared" si="13"/>
        <v>100</v>
      </c>
      <c r="V32" s="1478" t="s">
        <v>8</v>
      </c>
      <c r="W32" s="1479">
        <f t="shared" si="14"/>
        <v>100</v>
      </c>
      <c r="X32" s="1473"/>
      <c r="Y32" s="3203"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203"/>
      <c r="Q33" s="1477" t="str">
        <f t="shared" si="11"/>
        <v>是否直接入户</v>
      </c>
      <c r="R33" s="1478" t="s">
        <v>8</v>
      </c>
      <c r="S33" s="1479">
        <f t="shared" si="12"/>
        <v>100</v>
      </c>
      <c r="T33" s="1478" t="s">
        <v>8</v>
      </c>
      <c r="U33" s="1479">
        <f t="shared" si="13"/>
        <v>100</v>
      </c>
      <c r="V33" s="1478" t="s">
        <v>8</v>
      </c>
      <c r="W33" s="1479">
        <f t="shared" si="14"/>
        <v>100</v>
      </c>
      <c r="X33" s="1473"/>
      <c r="Y33" s="3203"/>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203"/>
      <c r="Q34" s="1477">
        <f t="shared" si="11"/>
        <v>111</v>
      </c>
      <c r="R34" s="1478" t="s">
        <v>8</v>
      </c>
      <c r="S34" s="1479">
        <f t="shared" si="12"/>
        <v>100</v>
      </c>
      <c r="T34" s="1478" t="s">
        <v>8</v>
      </c>
      <c r="U34" s="1479">
        <f t="shared" si="13"/>
        <v>100</v>
      </c>
      <c r="V34" s="1478" t="s">
        <v>8</v>
      </c>
      <c r="W34" s="1479">
        <f t="shared" si="14"/>
        <v>100</v>
      </c>
      <c r="X34" s="1473"/>
      <c r="Y34" s="3203"/>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203"/>
      <c r="Q35" s="853">
        <f t="shared" si="11"/>
        <v>111</v>
      </c>
      <c r="R35" s="1481" t="s">
        <v>8</v>
      </c>
      <c r="S35" s="1482">
        <f t="shared" si="12"/>
        <v>100</v>
      </c>
      <c r="T35" s="1481" t="s">
        <v>8</v>
      </c>
      <c r="U35" s="1482">
        <f t="shared" si="13"/>
        <v>100</v>
      </c>
      <c r="V35" s="1481" t="s">
        <v>8</v>
      </c>
      <c r="W35" s="1482">
        <f t="shared" si="14"/>
        <v>100</v>
      </c>
      <c r="X35" s="1483"/>
      <c r="Y35" s="3203"/>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203"/>
      <c r="Q36" s="1477">
        <f t="shared" si="11"/>
        <v>111</v>
      </c>
      <c r="R36" s="1478" t="s">
        <v>8</v>
      </c>
      <c r="S36" s="1479">
        <f t="shared" si="12"/>
        <v>100</v>
      </c>
      <c r="T36" s="1478" t="s">
        <v>8</v>
      </c>
      <c r="U36" s="1479">
        <f t="shared" si="13"/>
        <v>100</v>
      </c>
      <c r="V36" s="1478" t="s">
        <v>8</v>
      </c>
      <c r="W36" s="1479">
        <f t="shared" si="14"/>
        <v>100</v>
      </c>
      <c r="X36" s="1473"/>
      <c r="Y36" s="3203"/>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66" t="str">
        <f>A37</f>
        <v>成交单价</v>
      </c>
      <c r="Q37" s="3166"/>
      <c r="R37" s="3167">
        <f>E37</f>
        <v>0</v>
      </c>
      <c r="S37" s="3167"/>
      <c r="T37" s="3167">
        <f>G37</f>
        <v>0</v>
      </c>
      <c r="U37" s="3167"/>
      <c r="V37" s="3167">
        <f>I37</f>
        <v>0</v>
      </c>
      <c r="W37" s="3167"/>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66" t="str">
        <f>A38</f>
        <v>比较价格（元/平方米）</v>
      </c>
      <c r="Q38" s="3166"/>
      <c r="R38" s="3167" t="e">
        <f>IF(F1="售价",ROUND(PRODUCT(R37,AA7:AA36),0),ROUND(PRODUCT(R37,AA7:AA36),1))</f>
        <v>#DIV/0!</v>
      </c>
      <c r="S38" s="3167"/>
      <c r="T38" s="3167" t="e">
        <f>IF(F1="售价",ROUND(PRODUCT(T37,AB7:AB36),0),ROUND(PRODUCT(T37,AB7:AB36),1))</f>
        <v>#DIV/0!</v>
      </c>
      <c r="U38" s="3167"/>
      <c r="V38" s="3167" t="e">
        <f>IF(F1="售价",ROUND(PRODUCT(V37,AC7:AC36),0),ROUND(PRODUCT(V37,AC7:AC36),1))</f>
        <v>#DIV/0!</v>
      </c>
      <c r="W38" s="3167"/>
      <c r="X38" s="833"/>
      <c r="Y38" s="833"/>
      <c r="Z38" s="833"/>
      <c r="AA38" s="833"/>
      <c r="AB38" s="833"/>
      <c r="AC38" s="833"/>
    </row>
    <row r="39" spans="1:29" ht="15.75" thickBot="1">
      <c r="A39" s="597" t="s">
        <v>2933</v>
      </c>
      <c r="B39" s="598"/>
      <c r="C39" s="496" t="e">
        <f>R39</f>
        <v>#DIV/0!</v>
      </c>
      <c r="D39" s="496"/>
      <c r="E39" s="496"/>
      <c r="F39" s="496"/>
      <c r="G39" s="496"/>
      <c r="H39" s="496"/>
      <c r="I39" s="496"/>
      <c r="J39" s="496"/>
      <c r="K39" s="1512"/>
      <c r="L39" s="1995"/>
      <c r="M39" s="1986"/>
      <c r="N39" s="1986"/>
      <c r="O39" s="1986"/>
      <c r="P39" s="3163" t="str">
        <f>A39</f>
        <v>估价对象XX用房的比较价格（楼面单价，元/平方米）</v>
      </c>
      <c r="Q39" s="3164"/>
      <c r="R39" s="3282" t="e">
        <f>IF(F1="售价",ROUND(AVERAGE(R38:V38),0),ROUND(AVERAGE(R38:V38),1))</f>
        <v>#DIV/0!</v>
      </c>
      <c r="S39" s="3282"/>
      <c r="T39" s="3282"/>
      <c r="U39" s="3282"/>
      <c r="V39" s="3282"/>
      <c r="W39" s="3282"/>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2024-2</v>
      </c>
      <c r="D48" s="2552">
        <f>EDATE(C48,-1)</f>
        <v>45292</v>
      </c>
      <c r="E48" s="2552">
        <f t="shared" ref="E48:O48" si="16">EDATE(D48,-1)</f>
        <v>45261</v>
      </c>
      <c r="F48" s="2552">
        <f t="shared" si="16"/>
        <v>45231</v>
      </c>
      <c r="G48" s="2552">
        <f t="shared" si="16"/>
        <v>45200</v>
      </c>
      <c r="H48" s="2552">
        <f t="shared" si="16"/>
        <v>45170</v>
      </c>
      <c r="I48" s="2552">
        <f t="shared" si="16"/>
        <v>45139</v>
      </c>
      <c r="J48" s="2552">
        <f t="shared" si="16"/>
        <v>45108</v>
      </c>
      <c r="K48" s="2552">
        <f t="shared" si="16"/>
        <v>45078</v>
      </c>
      <c r="L48" s="2552">
        <f t="shared" si="16"/>
        <v>45047</v>
      </c>
      <c r="M48" s="2552">
        <f t="shared" si="16"/>
        <v>45017</v>
      </c>
      <c r="N48" s="2552">
        <f t="shared" si="16"/>
        <v>44986</v>
      </c>
      <c r="O48" s="2552">
        <f t="shared" si="16"/>
        <v>44958</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72" t="s">
        <v>798</v>
      </c>
      <c r="D4" s="3173"/>
      <c r="E4" s="3206" t="s">
        <v>799</v>
      </c>
      <c r="F4" s="3207"/>
      <c r="G4" s="3172" t="s">
        <v>800</v>
      </c>
      <c r="H4" s="3173"/>
      <c r="I4" s="3172" t="s">
        <v>801</v>
      </c>
      <c r="J4" s="3173"/>
      <c r="K4" s="492" t="s">
        <v>802</v>
      </c>
      <c r="L4" s="1985"/>
      <c r="M4" s="1986"/>
      <c r="N4" s="1986"/>
      <c r="O4" s="1986"/>
      <c r="P4" s="3174" t="s">
        <v>803</v>
      </c>
      <c r="Q4" s="3175"/>
      <c r="R4" s="3180" t="s">
        <v>799</v>
      </c>
      <c r="S4" s="3181"/>
      <c r="T4" s="3180" t="s">
        <v>800</v>
      </c>
      <c r="U4" s="3181"/>
      <c r="V4" s="3167" t="s">
        <v>801</v>
      </c>
      <c r="W4" s="3167"/>
      <c r="X4" s="1473"/>
      <c r="Y4" s="3180" t="s">
        <v>803</v>
      </c>
      <c r="Z4" s="3181"/>
      <c r="AA4" s="3169" t="s">
        <v>799</v>
      </c>
      <c r="AB4" s="3170" t="s">
        <v>800</v>
      </c>
      <c r="AC4" s="3169" t="s">
        <v>801</v>
      </c>
    </row>
    <row r="5" spans="1:29" ht="15">
      <c r="A5" s="493"/>
      <c r="B5" s="494"/>
      <c r="C5" s="3188" t="s">
        <v>2927</v>
      </c>
      <c r="D5" s="3189"/>
      <c r="E5" s="3208" t="s">
        <v>2928</v>
      </c>
      <c r="F5" s="3209"/>
      <c r="G5" s="3188" t="s">
        <v>2929</v>
      </c>
      <c r="H5" s="3189"/>
      <c r="I5" s="3188" t="s">
        <v>2930</v>
      </c>
      <c r="J5" s="3189"/>
      <c r="K5" s="492"/>
      <c r="L5" s="1985"/>
      <c r="M5" s="1986"/>
      <c r="N5" s="1986"/>
      <c r="O5" s="1986"/>
      <c r="P5" s="3176"/>
      <c r="Q5" s="3177"/>
      <c r="R5" s="3182"/>
      <c r="S5" s="3183"/>
      <c r="T5" s="3182"/>
      <c r="U5" s="3183"/>
      <c r="V5" s="3167"/>
      <c r="W5" s="3167"/>
      <c r="X5" s="1473"/>
      <c r="Y5" s="3182"/>
      <c r="Z5" s="3183"/>
      <c r="AA5" s="3170"/>
      <c r="AB5" s="3170"/>
      <c r="AC5" s="3170"/>
    </row>
    <row r="6" spans="1:29" ht="15.75" thickBot="1">
      <c r="A6" s="495"/>
      <c r="B6" s="496"/>
      <c r="C6" s="3186" t="s">
        <v>2931</v>
      </c>
      <c r="D6" s="3187"/>
      <c r="E6" s="3204" t="s">
        <v>2931</v>
      </c>
      <c r="F6" s="3205"/>
      <c r="G6" s="3186" t="s">
        <v>2931</v>
      </c>
      <c r="H6" s="3187"/>
      <c r="I6" s="3186" t="s">
        <v>2931</v>
      </c>
      <c r="J6" s="3187"/>
      <c r="K6" s="492" t="s">
        <v>528</v>
      </c>
      <c r="L6" s="1985"/>
      <c r="M6" s="1986"/>
      <c r="N6" s="1986"/>
      <c r="O6" s="1986"/>
      <c r="P6" s="3178"/>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97" t="s">
        <v>530</v>
      </c>
      <c r="Q7" s="3199"/>
      <c r="R7" s="1474" t="s">
        <v>8</v>
      </c>
      <c r="S7" s="1475">
        <f t="shared" ref="S7:S14" si="0">F7</f>
        <v>0</v>
      </c>
      <c r="T7" s="1474" t="s">
        <v>8</v>
      </c>
      <c r="U7" s="1475">
        <f t="shared" ref="U7:U14" si="1">H7</f>
        <v>0</v>
      </c>
      <c r="V7" s="1474" t="s">
        <v>8</v>
      </c>
      <c r="W7" s="1475">
        <f t="shared" ref="W7:W14"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97" t="s">
        <v>533</v>
      </c>
      <c r="Q8" s="3198"/>
      <c r="R8" s="1474" t="s">
        <v>8</v>
      </c>
      <c r="S8" s="1475">
        <f t="shared" si="0"/>
        <v>0</v>
      </c>
      <c r="T8" s="1474" t="s">
        <v>8</v>
      </c>
      <c r="U8" s="1475">
        <f t="shared" si="1"/>
        <v>0</v>
      </c>
      <c r="V8" s="1474" t="s">
        <v>8</v>
      </c>
      <c r="W8" s="1475">
        <f t="shared" si="2"/>
        <v>0</v>
      </c>
      <c r="X8" s="1476"/>
      <c r="Y8" s="3197" t="s">
        <v>533</v>
      </c>
      <c r="Z8" s="3198"/>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66" t="s">
        <v>535</v>
      </c>
      <c r="Q9" s="852" t="str">
        <f t="shared" ref="Q9:Q14" si="6">B9</f>
        <v>用途</v>
      </c>
      <c r="R9" s="1474" t="s">
        <v>8</v>
      </c>
      <c r="S9" s="1475">
        <f t="shared" si="0"/>
        <v>100</v>
      </c>
      <c r="T9" s="1474" t="s">
        <v>8</v>
      </c>
      <c r="U9" s="1475">
        <f t="shared" si="1"/>
        <v>100</v>
      </c>
      <c r="V9" s="1474" t="s">
        <v>8</v>
      </c>
      <c r="W9" s="1475">
        <f t="shared" si="2"/>
        <v>100</v>
      </c>
      <c r="X9" s="1476"/>
      <c r="Y9" s="3112"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66"/>
      <c r="Q11" s="852">
        <f t="shared" si="6"/>
        <v>111</v>
      </c>
      <c r="R11" s="1474" t="s">
        <v>8</v>
      </c>
      <c r="S11" s="1475">
        <f t="shared" si="0"/>
        <v>100</v>
      </c>
      <c r="T11" s="1474" t="s">
        <v>8</v>
      </c>
      <c r="U11" s="1475">
        <f t="shared" si="1"/>
        <v>100</v>
      </c>
      <c r="V11" s="1474" t="s">
        <v>8</v>
      </c>
      <c r="W11" s="1475">
        <f t="shared" si="2"/>
        <v>100</v>
      </c>
      <c r="X11" s="1476"/>
      <c r="Y11" s="3112"/>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200" t="s">
        <v>540</v>
      </c>
      <c r="Q14" s="1477" t="str">
        <f t="shared" si="6"/>
        <v>交通便捷度</v>
      </c>
      <c r="R14" s="1478" t="s">
        <v>8</v>
      </c>
      <c r="S14" s="1479">
        <f t="shared" si="0"/>
        <v>100</v>
      </c>
      <c r="T14" s="1478" t="s">
        <v>8</v>
      </c>
      <c r="U14" s="1479">
        <f t="shared" si="1"/>
        <v>100</v>
      </c>
      <c r="V14" s="1478" t="s">
        <v>8</v>
      </c>
      <c r="W14" s="1479">
        <f t="shared" si="2"/>
        <v>100</v>
      </c>
      <c r="X14" s="1473"/>
      <c r="Y14" s="3200"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201"/>
      <c r="Q15" s="1477"/>
      <c r="R15" s="1478"/>
      <c r="S15" s="1479"/>
      <c r="T15" s="1478"/>
      <c r="U15" s="1479"/>
      <c r="V15" s="1478"/>
      <c r="W15" s="1479"/>
      <c r="X15" s="1473"/>
      <c r="Y15" s="3201"/>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201"/>
      <c r="Q16" s="1477" t="str">
        <f>B16</f>
        <v>公共配套设施</v>
      </c>
      <c r="R16" s="1478" t="s">
        <v>8</v>
      </c>
      <c r="S16" s="1479">
        <f>F16</f>
        <v>100</v>
      </c>
      <c r="T16" s="1478" t="s">
        <v>8</v>
      </c>
      <c r="U16" s="1479">
        <f>H16</f>
        <v>100</v>
      </c>
      <c r="V16" s="1478" t="s">
        <v>8</v>
      </c>
      <c r="W16" s="1479">
        <f>J16</f>
        <v>100</v>
      </c>
      <c r="X16" s="1473"/>
      <c r="Y16" s="3201"/>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201"/>
      <c r="Q17" s="1477"/>
      <c r="R17" s="1478"/>
      <c r="S17" s="1479"/>
      <c r="T17" s="1478"/>
      <c r="U17" s="1479"/>
      <c r="V17" s="1478"/>
      <c r="W17" s="1479"/>
      <c r="X17" s="1473"/>
      <c r="Y17" s="3201"/>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201"/>
      <c r="Q18" s="1477" t="str">
        <f>B18</f>
        <v>基础设施水平</v>
      </c>
      <c r="R18" s="1478" t="s">
        <v>8</v>
      </c>
      <c r="S18" s="1479">
        <f>F18</f>
        <v>100</v>
      </c>
      <c r="T18" s="1478" t="s">
        <v>8</v>
      </c>
      <c r="U18" s="1479">
        <f>H18</f>
        <v>100</v>
      </c>
      <c r="V18" s="1478" t="s">
        <v>8</v>
      </c>
      <c r="W18" s="1479">
        <f>J18</f>
        <v>100</v>
      </c>
      <c r="X18" s="1473"/>
      <c r="Y18" s="3201"/>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201"/>
      <c r="Q19" s="1477"/>
      <c r="R19" s="1478"/>
      <c r="S19" s="1479"/>
      <c r="T19" s="1478"/>
      <c r="U19" s="1479"/>
      <c r="V19" s="1478"/>
      <c r="W19" s="1479"/>
      <c r="X19" s="1473"/>
      <c r="Y19" s="3201"/>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201"/>
      <c r="Q20" s="1477" t="str">
        <f>B20</f>
        <v>自然及人文环境</v>
      </c>
      <c r="R20" s="1478" t="s">
        <v>8</v>
      </c>
      <c r="S20" s="1479">
        <f>F20</f>
        <v>100</v>
      </c>
      <c r="T20" s="1478" t="s">
        <v>8</v>
      </c>
      <c r="U20" s="1479">
        <f>H20</f>
        <v>100</v>
      </c>
      <c r="V20" s="1478" t="s">
        <v>8</v>
      </c>
      <c r="W20" s="1479">
        <f>J20</f>
        <v>100</v>
      </c>
      <c r="X20" s="1473"/>
      <c r="Y20" s="3201"/>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201"/>
      <c r="Q21" s="1477"/>
      <c r="R21" s="1478"/>
      <c r="S21" s="1479"/>
      <c r="T21" s="1478"/>
      <c r="U21" s="1479"/>
      <c r="V21" s="1478"/>
      <c r="W21" s="1479"/>
      <c r="X21" s="1473"/>
      <c r="Y21" s="3201"/>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201"/>
      <c r="Q22" s="1477" t="str">
        <f>B22</f>
        <v>楼层</v>
      </c>
      <c r="R22" s="1478" t="s">
        <v>8</v>
      </c>
      <c r="S22" s="1479">
        <f>F22</f>
        <v>100</v>
      </c>
      <c r="T22" s="1478" t="s">
        <v>8</v>
      </c>
      <c r="U22" s="1479">
        <f>H22</f>
        <v>100</v>
      </c>
      <c r="V22" s="1478" t="s">
        <v>8</v>
      </c>
      <c r="W22" s="1479">
        <f>J22</f>
        <v>100</v>
      </c>
      <c r="X22" s="1473"/>
      <c r="Y22" s="3201"/>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201"/>
      <c r="Q23" s="1477">
        <f>B23</f>
        <v>111</v>
      </c>
      <c r="R23" s="1478" t="s">
        <v>8</v>
      </c>
      <c r="S23" s="1479">
        <f>F23</f>
        <v>100</v>
      </c>
      <c r="T23" s="1478" t="s">
        <v>8</v>
      </c>
      <c r="U23" s="1479">
        <f>H23</f>
        <v>100</v>
      </c>
      <c r="V23" s="1478" t="s">
        <v>8</v>
      </c>
      <c r="W23" s="1479">
        <f>J23</f>
        <v>100</v>
      </c>
      <c r="X23" s="1473"/>
      <c r="Y23" s="3201"/>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201"/>
      <c r="Q24" s="1477">
        <f t="shared" ref="Q24:Q34" si="11">B24</f>
        <v>111</v>
      </c>
      <c r="R24" s="1478" t="s">
        <v>8</v>
      </c>
      <c r="S24" s="1479">
        <f>F24</f>
        <v>100</v>
      </c>
      <c r="T24" s="1478" t="s">
        <v>8</v>
      </c>
      <c r="U24" s="1479">
        <f>H24</f>
        <v>100</v>
      </c>
      <c r="V24" s="1478" t="s">
        <v>8</v>
      </c>
      <c r="W24" s="1479">
        <f>J24</f>
        <v>100</v>
      </c>
      <c r="X24" s="1473"/>
      <c r="Y24" s="3201"/>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201"/>
      <c r="Q25" s="852">
        <f t="shared" si="11"/>
        <v>111</v>
      </c>
      <c r="R25" s="1474" t="s">
        <v>8</v>
      </c>
      <c r="S25" s="1475">
        <f>F25</f>
        <v>100</v>
      </c>
      <c r="T25" s="1474" t="s">
        <v>8</v>
      </c>
      <c r="U25" s="1475">
        <f>H25</f>
        <v>100</v>
      </c>
      <c r="V25" s="1474" t="s">
        <v>8</v>
      </c>
      <c r="W25" s="1475">
        <f>J25</f>
        <v>100</v>
      </c>
      <c r="X25" s="1476"/>
      <c r="Y25" s="3201"/>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202"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203"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203"/>
      <c r="Q27" s="853" t="str">
        <f t="shared" si="11"/>
        <v>成新率</v>
      </c>
      <c r="R27" s="1481" t="s">
        <v>8</v>
      </c>
      <c r="S27" s="1482" t="e">
        <f t="shared" si="12"/>
        <v>#N/A</v>
      </c>
      <c r="T27" s="1481" t="s">
        <v>8</v>
      </c>
      <c r="U27" s="1482" t="e">
        <f t="shared" si="13"/>
        <v>#N/A</v>
      </c>
      <c r="V27" s="1481" t="s">
        <v>8</v>
      </c>
      <c r="W27" s="1482" t="e">
        <f t="shared" si="14"/>
        <v>#N/A</v>
      </c>
      <c r="X27" s="1483"/>
      <c r="Y27" s="3203"/>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203"/>
      <c r="Q28" s="1477" t="str">
        <f t="shared" si="11"/>
        <v>物业等级</v>
      </c>
      <c r="R28" s="1478" t="s">
        <v>8</v>
      </c>
      <c r="S28" s="1479">
        <f t="shared" si="12"/>
        <v>100</v>
      </c>
      <c r="T28" s="1478" t="s">
        <v>8</v>
      </c>
      <c r="U28" s="1479">
        <f t="shared" si="13"/>
        <v>100</v>
      </c>
      <c r="V28" s="1478" t="s">
        <v>8</v>
      </c>
      <c r="W28" s="1479">
        <f t="shared" si="14"/>
        <v>100</v>
      </c>
      <c r="X28" s="1473"/>
      <c r="Y28" s="3203"/>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203"/>
      <c r="Q29" s="1477" t="str">
        <f t="shared" si="11"/>
        <v>有无电梯</v>
      </c>
      <c r="R29" s="1478" t="s">
        <v>8</v>
      </c>
      <c r="S29" s="1479">
        <f t="shared" si="12"/>
        <v>100</v>
      </c>
      <c r="T29" s="1478" t="s">
        <v>8</v>
      </c>
      <c r="U29" s="1479">
        <f t="shared" si="13"/>
        <v>100</v>
      </c>
      <c r="V29" s="1478" t="s">
        <v>8</v>
      </c>
      <c r="W29" s="1479">
        <f t="shared" si="14"/>
        <v>100</v>
      </c>
      <c r="X29" s="1473"/>
      <c r="Y29" s="3203"/>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203"/>
      <c r="Q30" s="1477" t="str">
        <f t="shared" si="11"/>
        <v>建筑面积</v>
      </c>
      <c r="R30" s="1478" t="s">
        <v>8</v>
      </c>
      <c r="S30" s="1479" t="e">
        <f t="shared" si="12"/>
        <v>#N/A</v>
      </c>
      <c r="T30" s="1478" t="s">
        <v>8</v>
      </c>
      <c r="U30" s="1479" t="e">
        <f t="shared" si="13"/>
        <v>#N/A</v>
      </c>
      <c r="V30" s="1478" t="s">
        <v>8</v>
      </c>
      <c r="W30" s="1479" t="e">
        <f t="shared" si="14"/>
        <v>#N/A</v>
      </c>
      <c r="X30" s="1473"/>
      <c r="Y30" s="3203"/>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203"/>
      <c r="Q31" s="852" t="str">
        <f t="shared" si="11"/>
        <v>是否封闭</v>
      </c>
      <c r="R31" s="1474" t="s">
        <v>8</v>
      </c>
      <c r="S31" s="1475">
        <f t="shared" si="12"/>
        <v>100</v>
      </c>
      <c r="T31" s="1474" t="s">
        <v>8</v>
      </c>
      <c r="U31" s="1475">
        <f t="shared" si="13"/>
        <v>100</v>
      </c>
      <c r="V31" s="1474" t="s">
        <v>8</v>
      </c>
      <c r="W31" s="1475">
        <f t="shared" si="14"/>
        <v>100</v>
      </c>
      <c r="X31" s="1476"/>
      <c r="Y31" s="3203"/>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203" t="s">
        <v>550</v>
      </c>
      <c r="Q32" s="1477">
        <f t="shared" si="11"/>
        <v>111</v>
      </c>
      <c r="R32" s="1478" t="s">
        <v>8</v>
      </c>
      <c r="S32" s="1479">
        <f t="shared" si="12"/>
        <v>100</v>
      </c>
      <c r="T32" s="1478" t="s">
        <v>8</v>
      </c>
      <c r="U32" s="1479">
        <f t="shared" si="13"/>
        <v>100</v>
      </c>
      <c r="V32" s="1478" t="s">
        <v>8</v>
      </c>
      <c r="W32" s="1479">
        <f t="shared" si="14"/>
        <v>100</v>
      </c>
      <c r="X32" s="1473"/>
      <c r="Y32" s="3203"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203"/>
      <c r="Q33" s="1477">
        <f t="shared" si="11"/>
        <v>111</v>
      </c>
      <c r="R33" s="1478" t="s">
        <v>8</v>
      </c>
      <c r="S33" s="1479">
        <f t="shared" si="12"/>
        <v>100</v>
      </c>
      <c r="T33" s="1478" t="s">
        <v>8</v>
      </c>
      <c r="U33" s="1479">
        <f t="shared" si="13"/>
        <v>100</v>
      </c>
      <c r="V33" s="1478" t="s">
        <v>8</v>
      </c>
      <c r="W33" s="1479">
        <f t="shared" si="14"/>
        <v>100</v>
      </c>
      <c r="X33" s="1473"/>
      <c r="Y33" s="3203"/>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203"/>
      <c r="Q34" s="1477">
        <f t="shared" si="11"/>
        <v>111</v>
      </c>
      <c r="R34" s="1478" t="s">
        <v>8</v>
      </c>
      <c r="S34" s="1479">
        <f t="shared" si="12"/>
        <v>100</v>
      </c>
      <c r="T34" s="1478" t="s">
        <v>8</v>
      </c>
      <c r="U34" s="1479">
        <f t="shared" si="13"/>
        <v>100</v>
      </c>
      <c r="V34" s="1478" t="s">
        <v>8</v>
      </c>
      <c r="W34" s="1479">
        <f t="shared" si="14"/>
        <v>100</v>
      </c>
      <c r="X34" s="1473"/>
      <c r="Y34" s="3203"/>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66" t="str">
        <f>A35</f>
        <v>成交单价（元/平方米）</v>
      </c>
      <c r="Q35" s="3166"/>
      <c r="R35" s="3167">
        <f>E35</f>
        <v>0</v>
      </c>
      <c r="S35" s="3167"/>
      <c r="T35" s="3167">
        <f>G35</f>
        <v>0</v>
      </c>
      <c r="U35" s="3167"/>
      <c r="V35" s="3167">
        <f>I35</f>
        <v>0</v>
      </c>
      <c r="W35" s="3167"/>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66" t="str">
        <f>A36</f>
        <v>比较价格（元/平方米）</v>
      </c>
      <c r="Q36" s="3166"/>
      <c r="R36" s="3167" t="e">
        <f>IF(F1="售价",ROUND(PRODUCT(R35,AA7:AA34),0),ROUND(PRODUCT(R35,AA7:AA34),1))</f>
        <v>#DIV/0!</v>
      </c>
      <c r="S36" s="3167"/>
      <c r="T36" s="3167" t="e">
        <f>IF(F1="售价",ROUND(PRODUCT(T35,AB7:AB34),0),ROUND(PRODUCT(T35,AB7:AB34),1))</f>
        <v>#DIV/0!</v>
      </c>
      <c r="U36" s="3167"/>
      <c r="V36" s="3167" t="e">
        <f>IF(F1="售价",ROUND(PRODUCT(V35,AC7:AC34),0),ROUND(PRODUCT(V35,AC7:AC34),1))</f>
        <v>#DIV/0!</v>
      </c>
      <c r="W36" s="3167"/>
      <c r="X36" s="833"/>
      <c r="Y36" s="833"/>
      <c r="Z36" s="833"/>
      <c r="AA36" s="833"/>
      <c r="AB36" s="833"/>
      <c r="AC36" s="833"/>
    </row>
    <row r="37" spans="1:29" ht="15.75" thickBot="1">
      <c r="A37" s="597" t="s">
        <v>2933</v>
      </c>
      <c r="B37" s="598"/>
      <c r="C37" s="496" t="e">
        <f>R37</f>
        <v>#DIV/0!</v>
      </c>
      <c r="D37" s="496"/>
      <c r="E37" s="496"/>
      <c r="F37" s="496"/>
      <c r="G37" s="496"/>
      <c r="H37" s="496"/>
      <c r="I37" s="496"/>
      <c r="J37" s="496"/>
      <c r="K37" s="1512"/>
      <c r="L37" s="1995"/>
      <c r="M37" s="1986"/>
      <c r="N37" s="1986"/>
      <c r="O37" s="1986"/>
      <c r="P37" s="3163" t="str">
        <f>A37</f>
        <v>估价对象XX用房的比较价格（楼面单价，元/平方米）</v>
      </c>
      <c r="Q37" s="3164"/>
      <c r="R37" s="3282" t="e">
        <f>IF(F1="售价",ROUND(AVERAGE(R36:V36),0),ROUND(AVERAGE(R36:V36),1))</f>
        <v>#DIV/0!</v>
      </c>
      <c r="S37" s="3282"/>
      <c r="T37" s="3282"/>
      <c r="U37" s="3282"/>
      <c r="V37" s="3282"/>
      <c r="W37" s="3282"/>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2024-2</v>
      </c>
      <c r="D46" s="2552">
        <f>EDATE(C46,-1)</f>
        <v>45292</v>
      </c>
      <c r="E46" s="2552">
        <f t="shared" ref="E46:O46" si="16">EDATE(D46,-1)</f>
        <v>45261</v>
      </c>
      <c r="F46" s="2552">
        <f t="shared" si="16"/>
        <v>45231</v>
      </c>
      <c r="G46" s="2552">
        <f t="shared" si="16"/>
        <v>45200</v>
      </c>
      <c r="H46" s="2552">
        <f t="shared" si="16"/>
        <v>45170</v>
      </c>
      <c r="I46" s="2552">
        <f t="shared" si="16"/>
        <v>45139</v>
      </c>
      <c r="J46" s="2552">
        <f t="shared" si="16"/>
        <v>45108</v>
      </c>
      <c r="K46" s="2552">
        <f t="shared" si="16"/>
        <v>45078</v>
      </c>
      <c r="L46" s="2552">
        <f t="shared" si="16"/>
        <v>45047</v>
      </c>
      <c r="M46" s="2552">
        <f t="shared" si="16"/>
        <v>45017</v>
      </c>
      <c r="N46" s="2552">
        <f t="shared" si="16"/>
        <v>44986</v>
      </c>
      <c r="O46" s="2552">
        <f t="shared" si="16"/>
        <v>44958</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91" t="s">
        <v>2304</v>
      </c>
      <c r="D1" s="3292"/>
      <c r="E1" s="3292"/>
      <c r="F1" s="3292"/>
      <c r="G1" s="3292"/>
      <c r="H1" s="3292"/>
      <c r="I1" s="3292"/>
      <c r="J1" s="3292"/>
      <c r="K1" s="3292"/>
      <c r="L1" s="3292"/>
      <c r="M1" s="3292"/>
      <c r="N1" s="3292"/>
      <c r="O1" s="3292"/>
      <c r="P1" s="3292"/>
      <c r="Q1" s="3292"/>
      <c r="R1" s="3292"/>
      <c r="S1" s="3293"/>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2926</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2925</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2924</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2937</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2923</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2922</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88" t="s">
        <v>20</v>
      </c>
      <c r="D22" s="3289"/>
      <c r="E22" s="3289"/>
      <c r="F22" s="3289"/>
      <c r="G22" s="3289"/>
      <c r="H22" s="3289"/>
      <c r="I22" s="3289"/>
      <c r="J22" s="3289"/>
      <c r="K22" s="3289"/>
      <c r="L22" s="3289"/>
      <c r="M22" s="3289"/>
      <c r="N22" s="3289"/>
      <c r="O22" s="3289"/>
      <c r="P22" s="3289"/>
      <c r="Q22" s="3290"/>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45344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3123</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t="e">
        <f>G10+G12+G15+G23</f>
        <v>#DIV/0!</v>
      </c>
      <c r="H9" s="2959" t="e">
        <f>H10+H12+H15+H23</f>
        <v>#DIV/0!</v>
      </c>
      <c r="I9" s="2960">
        <f>I10+I12+I15+I23</f>
        <v>602</v>
      </c>
      <c r="J9" s="2947" t="s">
        <v>3004</v>
      </c>
    </row>
    <row r="10" spans="1:10" ht="21" customHeight="1">
      <c r="A10" s="2272" t="s">
        <v>2440</v>
      </c>
      <c r="B10" s="2948" t="s">
        <v>3005</v>
      </c>
      <c r="C10" s="715" t="s">
        <v>3054</v>
      </c>
      <c r="D10" s="715" t="s">
        <v>3054</v>
      </c>
      <c r="E10" s="716" t="s">
        <v>3054</v>
      </c>
      <c r="F10" s="716" t="s">
        <v>3054</v>
      </c>
      <c r="G10" s="717" t="e">
        <f>G11</f>
        <v>#DIV/0!</v>
      </c>
      <c r="H10" s="717" t="e">
        <f>H11</f>
        <v>#DIV/0!</v>
      </c>
      <c r="I10" s="2960">
        <f>I11</f>
        <v>225</v>
      </c>
      <c r="J10" s="2950" t="s">
        <v>3055</v>
      </c>
    </row>
    <row r="11" spans="1:10" ht="38.25">
      <c r="A11" s="2279" t="s">
        <v>3006</v>
      </c>
      <c r="B11" s="2948" t="s">
        <v>3114</v>
      </c>
      <c r="C11" s="2276">
        <v>15</v>
      </c>
      <c r="D11" s="715" t="s">
        <v>3056</v>
      </c>
      <c r="E11" s="2955" t="e">
        <f>ROUND('数据-汇总表'!D3/666.67,2)</f>
        <v>#DIV/0!</v>
      </c>
      <c r="F11" s="2951" t="s">
        <v>3057</v>
      </c>
      <c r="G11" s="717" t="e">
        <f>C11*E11</f>
        <v>#DIV/0!</v>
      </c>
      <c r="H11" s="717" t="e">
        <f>ROUND(G11/'数据-汇总表'!D3*10000,2)</f>
        <v>#DIV/0!</v>
      </c>
      <c r="I11" s="2960">
        <f>ROUND(C11*10000/666.67,0)</f>
        <v>225</v>
      </c>
      <c r="J11" s="2950" t="s">
        <v>3058</v>
      </c>
    </row>
    <row r="12" spans="1:10">
      <c r="A12" s="2272" t="s">
        <v>2441</v>
      </c>
      <c r="B12" s="2948" t="s">
        <v>3010</v>
      </c>
      <c r="C12" s="715" t="s">
        <v>3054</v>
      </c>
      <c r="D12" s="715" t="s">
        <v>3054</v>
      </c>
      <c r="E12" s="715" t="s">
        <v>3054</v>
      </c>
      <c r="F12" s="716" t="s">
        <v>3054</v>
      </c>
      <c r="G12" s="717">
        <f>G13+G14</f>
        <v>0</v>
      </c>
      <c r="H12" s="717" t="e">
        <f>H13+H14</f>
        <v>#DIV/0!</v>
      </c>
      <c r="I12" s="2960"/>
      <c r="J12" s="2950" t="s">
        <v>3063</v>
      </c>
    </row>
    <row r="13" spans="1:10" ht="38.25">
      <c r="A13" s="2279" t="s">
        <v>3006</v>
      </c>
      <c r="B13" s="2948" t="s">
        <v>3012</v>
      </c>
      <c r="C13" s="2276">
        <v>1500</v>
      </c>
      <c r="D13" s="715" t="s">
        <v>3064</v>
      </c>
      <c r="E13" s="2967">
        <v>0</v>
      </c>
      <c r="F13" s="2952" t="s">
        <v>3057</v>
      </c>
      <c r="G13" s="717">
        <f>C13*E13/10000</f>
        <v>0</v>
      </c>
      <c r="H13" s="717" t="e">
        <f>ROUND(G13*10000/'数据-汇总表'!D3,2)</f>
        <v>#DIV/0!</v>
      </c>
      <c r="I13" s="2960"/>
      <c r="J13" s="2950" t="s">
        <v>3065</v>
      </c>
    </row>
    <row r="14" spans="1:10" ht="36">
      <c r="A14" s="2279" t="s">
        <v>3018</v>
      </c>
      <c r="B14" s="2948" t="s">
        <v>3115</v>
      </c>
      <c r="C14" s="2276">
        <v>2000</v>
      </c>
      <c r="D14" s="715" t="s">
        <v>3064</v>
      </c>
      <c r="E14" s="2966">
        <v>0</v>
      </c>
      <c r="F14" s="2952" t="s">
        <v>3057</v>
      </c>
      <c r="G14" s="717">
        <f>C14*E14/10000</f>
        <v>0</v>
      </c>
      <c r="H14" s="717" t="e">
        <f>ROUND(G14*10000/'数据-汇总表'!D3,2)</f>
        <v>#DIV/0!</v>
      </c>
      <c r="I14" s="2960"/>
      <c r="J14" s="2965" t="s">
        <v>3116</v>
      </c>
    </row>
    <row r="15" spans="1:10">
      <c r="A15" s="2279" t="s">
        <v>3015</v>
      </c>
      <c r="B15" s="2948" t="s">
        <v>3016</v>
      </c>
      <c r="C15" s="715" t="s">
        <v>3054</v>
      </c>
      <c r="D15" s="715" t="s">
        <v>3054</v>
      </c>
      <c r="E15" s="715" t="s">
        <v>3054</v>
      </c>
      <c r="F15" s="732" t="s">
        <v>3054</v>
      </c>
      <c r="G15" s="717">
        <f>G16+G17+G18+G19+G20+G21+G22</f>
        <v>0</v>
      </c>
      <c r="H15" s="717" t="e">
        <f>H16+H17+H18+H19+H20+H21+H22</f>
        <v>#DIV/0!</v>
      </c>
      <c r="I15" s="2960">
        <v>350</v>
      </c>
      <c r="J15" s="2950" t="s">
        <v>3075</v>
      </c>
    </row>
    <row r="16" spans="1:10" ht="37.5">
      <c r="A16" s="2279" t="s">
        <v>3006</v>
      </c>
      <c r="B16" s="2948" t="s">
        <v>3019</v>
      </c>
      <c r="C16" s="2276">
        <v>1300</v>
      </c>
      <c r="D16" s="715" t="s">
        <v>3076</v>
      </c>
      <c r="E16" s="2966">
        <v>0</v>
      </c>
      <c r="F16" s="2952" t="s">
        <v>3077</v>
      </c>
      <c r="G16" s="717">
        <f>C16*E16/10000</f>
        <v>0</v>
      </c>
      <c r="H16" s="717" t="e">
        <f>ROUND(G16*10000/'数据-汇总表'!D3,2)</f>
        <v>#DIV/0!</v>
      </c>
      <c r="I16" s="2960"/>
      <c r="J16" s="2950" t="s">
        <v>3117</v>
      </c>
    </row>
    <row r="17" spans="1:10" ht="25.5">
      <c r="A17" s="2279" t="s">
        <v>3018</v>
      </c>
      <c r="B17" s="2948" t="s">
        <v>3021</v>
      </c>
      <c r="C17" s="2276">
        <v>25</v>
      </c>
      <c r="D17" s="715" t="s">
        <v>3079</v>
      </c>
      <c r="E17" s="2966">
        <v>0</v>
      </c>
      <c r="F17" s="2952" t="s">
        <v>3080</v>
      </c>
      <c r="G17" s="717">
        <f>C17*E17</f>
        <v>0</v>
      </c>
      <c r="H17" s="717" t="e">
        <f>ROUND(G17*10000/'数据-汇总表'!D3,2)</f>
        <v>#DIV/0!</v>
      </c>
      <c r="I17" s="2960"/>
      <c r="J17" s="2950" t="s">
        <v>3118</v>
      </c>
    </row>
    <row r="18" spans="1:10" ht="49.5">
      <c r="A18" s="2279" t="s">
        <v>3011</v>
      </c>
      <c r="B18" s="2948" t="s">
        <v>3022</v>
      </c>
      <c r="C18" s="2276">
        <v>400</v>
      </c>
      <c r="D18" s="715" t="s">
        <v>3076</v>
      </c>
      <c r="E18" s="2966">
        <v>0</v>
      </c>
      <c r="F18" s="2952" t="s">
        <v>3077</v>
      </c>
      <c r="G18" s="717">
        <f>C18*E18/10000</f>
        <v>0</v>
      </c>
      <c r="H18" s="717" t="e">
        <f>ROUND(G18*10000/'数据-汇总表'!D3,2)</f>
        <v>#DIV/0!</v>
      </c>
      <c r="I18" s="2960"/>
      <c r="J18" s="2950" t="s">
        <v>3084</v>
      </c>
    </row>
    <row r="19" spans="1:10" ht="63">
      <c r="A19" s="2279" t="s">
        <v>3071</v>
      </c>
      <c r="B19" s="2948" t="s">
        <v>3023</v>
      </c>
      <c r="C19" s="2276">
        <v>35</v>
      </c>
      <c r="D19" s="715" t="s">
        <v>3085</v>
      </c>
      <c r="E19" s="2966">
        <v>0</v>
      </c>
      <c r="F19" s="2952" t="s">
        <v>3086</v>
      </c>
      <c r="G19" s="717">
        <f>C19*E19/10000</f>
        <v>0</v>
      </c>
      <c r="H19" s="717" t="e">
        <f>ROUND(G19*10000/'数据-汇总表'!D3,2)</f>
        <v>#DIV/0!</v>
      </c>
      <c r="I19" s="2960"/>
      <c r="J19" s="2950" t="s">
        <v>3087</v>
      </c>
    </row>
    <row r="20" spans="1:10" ht="37.5">
      <c r="A20" s="2279" t="s">
        <v>3072</v>
      </c>
      <c r="B20" s="2948" t="s">
        <v>3024</v>
      </c>
      <c r="C20" s="2276">
        <v>1300</v>
      </c>
      <c r="D20" s="715" t="s">
        <v>3076</v>
      </c>
      <c r="E20" s="2966">
        <v>0</v>
      </c>
      <c r="F20" s="2952" t="s">
        <v>3077</v>
      </c>
      <c r="G20" s="717">
        <f>C20*E20/10000</f>
        <v>0</v>
      </c>
      <c r="H20" s="717" t="e">
        <f>ROUND(G20*10000/'数据-汇总表'!D3,2)</f>
        <v>#DIV/0!</v>
      </c>
      <c r="I20" s="2960"/>
      <c r="J20" s="2950" t="s">
        <v>3119</v>
      </c>
    </row>
    <row r="21" spans="1:10" ht="38.25">
      <c r="A21" s="2279" t="s">
        <v>3073</v>
      </c>
      <c r="B21" s="2948" t="s">
        <v>3025</v>
      </c>
      <c r="C21" s="2276">
        <v>1495</v>
      </c>
      <c r="D21" s="715" t="s">
        <v>3076</v>
      </c>
      <c r="E21" s="2276"/>
      <c r="F21" s="2952" t="s">
        <v>3077</v>
      </c>
      <c r="G21" s="717">
        <f>ROUND(C21*E21/10000,2)</f>
        <v>0</v>
      </c>
      <c r="H21" s="717" t="e">
        <f>ROUND(G21*10000/'数据-汇总表'!D3,2)</f>
        <v>#DIV/0!</v>
      </c>
      <c r="I21" s="2960"/>
      <c r="J21" s="2950" t="s">
        <v>3120</v>
      </c>
    </row>
    <row r="22" spans="1:10" ht="63">
      <c r="A22" s="2279" t="s">
        <v>3074</v>
      </c>
      <c r="B22" s="2948" t="s">
        <v>3030</v>
      </c>
      <c r="C22" s="2955">
        <v>1.7</v>
      </c>
      <c r="D22" s="715" t="s">
        <v>3085</v>
      </c>
      <c r="E22" s="2966">
        <v>0</v>
      </c>
      <c r="F22" s="2952" t="s">
        <v>3086</v>
      </c>
      <c r="G22" s="717">
        <f>C22*E22/10000</f>
        <v>0</v>
      </c>
      <c r="H22" s="717" t="e">
        <f>ROUND(G22*10000/'数据-汇总表'!D3,2)</f>
        <v>#DIV/0!</v>
      </c>
      <c r="I22" s="2960"/>
      <c r="J22" s="2950" t="s">
        <v>3094</v>
      </c>
    </row>
    <row r="23" spans="1:10">
      <c r="A23" s="2279" t="s">
        <v>3026</v>
      </c>
      <c r="B23" s="2948" t="s">
        <v>3027</v>
      </c>
      <c r="C23" s="715" t="s">
        <v>3054</v>
      </c>
      <c r="D23" s="715" t="s">
        <v>3054</v>
      </c>
      <c r="E23" s="715" t="s">
        <v>3054</v>
      </c>
      <c r="F23" s="732" t="s">
        <v>3054</v>
      </c>
      <c r="G23" s="717">
        <f>G24+G25</f>
        <v>0</v>
      </c>
      <c r="H23" s="717" t="e">
        <f>H24+H25</f>
        <v>#DIV/0!</v>
      </c>
      <c r="I23" s="2960">
        <v>27</v>
      </c>
      <c r="J23" s="2950" t="s">
        <v>3091</v>
      </c>
    </row>
    <row r="24" spans="1:10" ht="62.25">
      <c r="A24" s="2279" t="s">
        <v>3006</v>
      </c>
      <c r="B24" s="2948" t="s">
        <v>3028</v>
      </c>
      <c r="C24" s="2955">
        <v>4.8</v>
      </c>
      <c r="D24" s="715" t="s">
        <v>3085</v>
      </c>
      <c r="E24" s="2966">
        <v>0</v>
      </c>
      <c r="F24" s="2952" t="s">
        <v>3086</v>
      </c>
      <c r="G24" s="717">
        <f>C24*E24/10000</f>
        <v>0</v>
      </c>
      <c r="H24" s="717" t="e">
        <f>ROUND(G24*10000/'数据-汇总表'!D3,2)</f>
        <v>#DIV/0!</v>
      </c>
      <c r="I24" s="2960"/>
      <c r="J24" s="2950" t="s">
        <v>3092</v>
      </c>
    </row>
    <row r="25" spans="1:10" ht="50.25">
      <c r="A25" s="2279" t="s">
        <v>3018</v>
      </c>
      <c r="B25" s="2948" t="s">
        <v>3029</v>
      </c>
      <c r="C25" s="2955">
        <v>1.6</v>
      </c>
      <c r="D25" s="715" t="s">
        <v>3085</v>
      </c>
      <c r="E25" s="2966">
        <v>0</v>
      </c>
      <c r="F25" s="2952" t="s">
        <v>3086</v>
      </c>
      <c r="G25" s="717">
        <f>C25*E25/10000</f>
        <v>0</v>
      </c>
      <c r="H25" s="717" t="e">
        <f>ROUND(G25*10000/'数据-汇总表'!D3,2)</f>
        <v>#DIV/0!</v>
      </c>
      <c r="I25" s="2960"/>
      <c r="J25" s="2950" t="s">
        <v>3093</v>
      </c>
    </row>
    <row r="26" spans="1:10">
      <c r="A26" s="2272" t="s">
        <v>3031</v>
      </c>
      <c r="B26" s="2949" t="s">
        <v>3033</v>
      </c>
      <c r="C26" s="715" t="s">
        <v>3054</v>
      </c>
      <c r="D26" s="715" t="s">
        <v>3054</v>
      </c>
      <c r="E26" s="715" t="s">
        <v>3054</v>
      </c>
      <c r="F26" s="732" t="s">
        <v>3054</v>
      </c>
      <c r="G26" s="717" t="e">
        <f>G27+G28+G29+G30</f>
        <v>#DIV/0!</v>
      </c>
      <c r="H26" s="717" t="e">
        <f>H27+H28+H29+H30</f>
        <v>#DIV/0!</v>
      </c>
      <c r="I26" s="2960">
        <v>39.200000000000003</v>
      </c>
      <c r="J26" s="2950" t="s">
        <v>3095</v>
      </c>
    </row>
    <row r="27" spans="1:10" ht="38.25">
      <c r="A27" s="2272" t="s">
        <v>2440</v>
      </c>
      <c r="B27" s="2948" t="s">
        <v>3034</v>
      </c>
      <c r="C27" s="2974">
        <v>40</v>
      </c>
      <c r="D27" s="715" t="s">
        <v>3076</v>
      </c>
      <c r="E27" s="2969" t="e">
        <f>'数据-汇总表'!D3</f>
        <v>#DIV/0!</v>
      </c>
      <c r="F27" s="2956" t="s">
        <v>3057</v>
      </c>
      <c r="G27" s="717" t="e">
        <f>ROUND(C27*E27/10000,2)</f>
        <v>#DIV/0!</v>
      </c>
      <c r="H27" s="717" t="e">
        <f>ROUND(G27*10000/'数据-汇总表'!D3,2)</f>
        <v>#DIV/0!</v>
      </c>
      <c r="I27" s="2960"/>
      <c r="J27" s="2950" t="s">
        <v>3096</v>
      </c>
    </row>
    <row r="28" spans="1:10" ht="51">
      <c r="A28" s="2272" t="s">
        <v>2441</v>
      </c>
      <c r="B28" s="2948" t="s">
        <v>3035</v>
      </c>
      <c r="C28" s="2276">
        <v>20</v>
      </c>
      <c r="D28" s="715" t="s">
        <v>3076</v>
      </c>
      <c r="E28" s="2969" t="e">
        <f>'数据-汇总表'!D3</f>
        <v>#DIV/0!</v>
      </c>
      <c r="F28" s="2956" t="s">
        <v>3057</v>
      </c>
      <c r="G28" s="717" t="e">
        <f t="shared" ref="G28:G30" si="0">ROUND(C28*E28/10000,2)</f>
        <v>#DIV/0!</v>
      </c>
      <c r="H28" s="717" t="e">
        <f>ROUND(G28*10000/'数据-汇总表'!D3,2)</f>
        <v>#DIV/0!</v>
      </c>
      <c r="I28" s="2960"/>
      <c r="J28" s="2950" t="s">
        <v>3097</v>
      </c>
    </row>
    <row r="29" spans="1:10" ht="63">
      <c r="A29" s="2279" t="s">
        <v>3015</v>
      </c>
      <c r="B29" s="2948" t="s">
        <v>3036</v>
      </c>
      <c r="C29" s="2276">
        <v>12</v>
      </c>
      <c r="D29" s="715" t="s">
        <v>3056</v>
      </c>
      <c r="E29" s="2969" t="e">
        <f>E11</f>
        <v>#DIV/0!</v>
      </c>
      <c r="F29" s="2956" t="s">
        <v>3057</v>
      </c>
      <c r="G29" s="717" t="e">
        <f t="shared" si="0"/>
        <v>#DIV/0!</v>
      </c>
      <c r="H29" s="717" t="e">
        <f>ROUND(G29*10000/'数据-汇总表'!D3,2)</f>
        <v>#DIV/0!</v>
      </c>
      <c r="I29" s="2960"/>
      <c r="J29" s="2950" t="s">
        <v>3099</v>
      </c>
    </row>
    <row r="30" spans="1:10" ht="50.25">
      <c r="A30" s="2279" t="s">
        <v>3026</v>
      </c>
      <c r="B30" s="2948" t="s">
        <v>3037</v>
      </c>
      <c r="C30" s="2276">
        <v>15</v>
      </c>
      <c r="D30" s="715" t="s">
        <v>3076</v>
      </c>
      <c r="E30" s="2969" t="e">
        <f>E27</f>
        <v>#DIV/0!</v>
      </c>
      <c r="F30" s="2956" t="s">
        <v>3057</v>
      </c>
      <c r="G30" s="717" t="e">
        <f t="shared" si="0"/>
        <v>#DIV/0!</v>
      </c>
      <c r="H30" s="717" t="e">
        <f>ROUND(G30*10000/'数据-汇总表'!D3,2)</f>
        <v>#DIV/0!</v>
      </c>
      <c r="I30" s="2960"/>
      <c r="J30" s="2950" t="s">
        <v>3100</v>
      </c>
    </row>
    <row r="31" spans="1:10" ht="24.75">
      <c r="A31" s="2272" t="s">
        <v>3039</v>
      </c>
      <c r="B31" s="2949" t="s">
        <v>3038</v>
      </c>
      <c r="C31" s="715" t="s">
        <v>3054</v>
      </c>
      <c r="D31" s="715" t="s">
        <v>3054</v>
      </c>
      <c r="E31" s="715" t="s">
        <v>3054</v>
      </c>
      <c r="F31" s="732" t="s">
        <v>3054</v>
      </c>
      <c r="G31" s="717" t="e">
        <f>ROUND(H31*'数据-汇总表'!D3/10000,2)</f>
        <v>#DIV/0!</v>
      </c>
      <c r="H31" s="717">
        <v>100</v>
      </c>
      <c r="I31" s="2960">
        <v>100</v>
      </c>
      <c r="J31" s="2950" t="s">
        <v>3101</v>
      </c>
    </row>
    <row r="32" spans="1:10" ht="37.5">
      <c r="A32" s="2272" t="s">
        <v>3040</v>
      </c>
      <c r="B32" s="2949" t="s">
        <v>3041</v>
      </c>
      <c r="C32" s="2957">
        <v>4.3499999999999997E-2</v>
      </c>
      <c r="D32" s="715" t="s">
        <v>3054</v>
      </c>
      <c r="E32" s="2276">
        <v>1</v>
      </c>
      <c r="F32" s="2952" t="s">
        <v>3102</v>
      </c>
      <c r="G32" s="717" t="e">
        <f>ROUND((G9+G26)*E32*C32+G31*(E32/2)*C32,2)</f>
        <v>#DIV/0!</v>
      </c>
      <c r="H32" s="717" t="e">
        <f>ROUND((H9+H26)*E32*C32+H31*(E32/2)*C32,2)</f>
        <v>#DIV/0!</v>
      </c>
      <c r="I32" s="2960">
        <f>ROUND((I9+I26)*E32*C32+I31*(E32/2)*C32,2)</f>
        <v>30.07</v>
      </c>
      <c r="J32" s="2950" t="s">
        <v>3103</v>
      </c>
    </row>
    <row r="33" spans="1:10" ht="25.5">
      <c r="A33" s="2272" t="s">
        <v>3042</v>
      </c>
      <c r="B33" s="2949" t="s">
        <v>3043</v>
      </c>
      <c r="C33" s="2957">
        <v>0.15</v>
      </c>
      <c r="D33" s="715" t="s">
        <v>3054</v>
      </c>
      <c r="E33" s="715" t="s">
        <v>3054</v>
      </c>
      <c r="F33" s="732" t="s">
        <v>3054</v>
      </c>
      <c r="G33" s="717" t="e">
        <f>ROUND((G9+G26+G31)*8%,2)</f>
        <v>#DIV/0!</v>
      </c>
      <c r="H33" s="717" t="e">
        <f>ROUND((H9+H26+H31)*8%,2)</f>
        <v>#DIV/0!</v>
      </c>
      <c r="I33" s="2960">
        <f>ROUND((I9+I26+I31)*C33,2)</f>
        <v>111.18</v>
      </c>
      <c r="J33" s="2950" t="s">
        <v>3104</v>
      </c>
    </row>
    <row r="34" spans="1:10" ht="25.5">
      <c r="A34" s="2272" t="s">
        <v>3044</v>
      </c>
      <c r="B34" s="2949" t="s">
        <v>3045</v>
      </c>
      <c r="C34" s="715" t="s">
        <v>3054</v>
      </c>
      <c r="D34" s="715" t="s">
        <v>3054</v>
      </c>
      <c r="E34" s="715" t="s">
        <v>3054</v>
      </c>
      <c r="F34" s="732" t="s">
        <v>3054</v>
      </c>
      <c r="G34" s="717" t="e">
        <f>ROUND(G9+G26+G31+G32+G33,2)</f>
        <v>#DIV/0!</v>
      </c>
      <c r="H34" s="717" t="e">
        <f>ROUND(H9+H26+H31+H32+H33,2)</f>
        <v>#DIV/0!</v>
      </c>
      <c r="I34" s="2960">
        <f>ROUND(I9+I26+I31+I32+I33,2)</f>
        <v>882.45</v>
      </c>
      <c r="J34" s="2950" t="s">
        <v>3106</v>
      </c>
    </row>
    <row r="35" spans="1:10" ht="37.5">
      <c r="A35" s="2272" t="s">
        <v>3046</v>
      </c>
      <c r="B35" s="2949" t="s">
        <v>3047</v>
      </c>
      <c r="C35" s="2968">
        <v>0.4</v>
      </c>
      <c r="D35" s="715" t="s">
        <v>3054</v>
      </c>
      <c r="E35" s="715" t="s">
        <v>3054</v>
      </c>
      <c r="F35" s="732" t="s">
        <v>3054</v>
      </c>
      <c r="G35" s="717" t="e">
        <f>ROUND(G34*C35,2)</f>
        <v>#DIV/0!</v>
      </c>
      <c r="H35" s="717" t="e">
        <f>ROUND(H34*C35,2)</f>
        <v>#DIV/0!</v>
      </c>
      <c r="I35" s="2960">
        <f>ROUND(I34*C35,2)</f>
        <v>352.98</v>
      </c>
      <c r="J35" s="2950" t="s">
        <v>3121</v>
      </c>
    </row>
    <row r="36" spans="1:10">
      <c r="A36" s="2272" t="s">
        <v>3048</v>
      </c>
      <c r="B36" s="2949" t="s">
        <v>3049</v>
      </c>
      <c r="C36" s="2975">
        <f>ROUND(0.9457*C40,4)</f>
        <v>0.93059999999999998</v>
      </c>
      <c r="D36" s="715" t="s">
        <v>3054</v>
      </c>
      <c r="E36" s="715" t="s">
        <v>3054</v>
      </c>
      <c r="F36" s="732" t="s">
        <v>3054</v>
      </c>
      <c r="G36" s="732" t="s">
        <v>3054</v>
      </c>
      <c r="H36" s="732" t="s">
        <v>3054</v>
      </c>
      <c r="I36" s="2962" t="s">
        <v>3054</v>
      </c>
      <c r="J36" s="2950" t="s">
        <v>3107</v>
      </c>
    </row>
    <row r="37" spans="1:10">
      <c r="A37" s="2272" t="s">
        <v>3050</v>
      </c>
      <c r="B37" s="2949" t="s">
        <v>3051</v>
      </c>
      <c r="C37" s="2969">
        <v>1.006</v>
      </c>
      <c r="D37" s="715" t="s">
        <v>3054</v>
      </c>
      <c r="E37" s="715" t="s">
        <v>3054</v>
      </c>
      <c r="F37" s="715" t="s">
        <v>3054</v>
      </c>
      <c r="G37" s="715" t="s">
        <v>3054</v>
      </c>
      <c r="H37" s="715" t="s">
        <v>3054</v>
      </c>
      <c r="I37" s="2963" t="s">
        <v>3054</v>
      </c>
      <c r="J37" s="2950" t="s">
        <v>3108</v>
      </c>
    </row>
    <row r="38" spans="1:10" ht="25.5">
      <c r="A38" s="2272" t="s">
        <v>3052</v>
      </c>
      <c r="B38" s="2949" t="s">
        <v>3053</v>
      </c>
      <c r="C38" s="715" t="s">
        <v>3054</v>
      </c>
      <c r="D38" s="715" t="s">
        <v>3054</v>
      </c>
      <c r="E38" s="715" t="s">
        <v>3054</v>
      </c>
      <c r="F38" s="715" t="s">
        <v>3054</v>
      </c>
      <c r="G38" s="717" t="e">
        <f>ROUND((G34+G35)*C36*C37,0)</f>
        <v>#DIV/0!</v>
      </c>
      <c r="H38" s="717" t="e">
        <f>ROUND((H34+H35)*C36*C37,0)</f>
        <v>#DIV/0!</v>
      </c>
      <c r="I38" s="2960">
        <f>ROUND((I34+I35)*C36*C37,0)</f>
        <v>1157</v>
      </c>
      <c r="J38" s="2950" t="s">
        <v>3122</v>
      </c>
    </row>
    <row r="40" spans="1:10">
      <c r="B40" s="2970" t="s">
        <v>3129</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3123</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t="e">
        <f>G10+G12+G15+G23</f>
        <v>#DIV/0!</v>
      </c>
      <c r="H9" s="2959" t="e">
        <f>H10+H12+H15+H23</f>
        <v>#DIV/0!</v>
      </c>
      <c r="I9" s="2960">
        <f>I10+I12+I15+I23</f>
        <v>602</v>
      </c>
      <c r="J9" s="2947" t="s">
        <v>3004</v>
      </c>
    </row>
    <row r="10" spans="1:10" ht="21" customHeight="1">
      <c r="A10" s="2272" t="s">
        <v>2440</v>
      </c>
      <c r="B10" s="2948" t="s">
        <v>3005</v>
      </c>
      <c r="C10" s="715" t="s">
        <v>3054</v>
      </c>
      <c r="D10" s="715" t="s">
        <v>3054</v>
      </c>
      <c r="E10" s="716" t="s">
        <v>3054</v>
      </c>
      <c r="F10" s="716" t="s">
        <v>3054</v>
      </c>
      <c r="G10" s="717" t="e">
        <f>G11</f>
        <v>#DIV/0!</v>
      </c>
      <c r="H10" s="717" t="e">
        <f>H11</f>
        <v>#DIV/0!</v>
      </c>
      <c r="I10" s="2960">
        <f>I11</f>
        <v>225</v>
      </c>
      <c r="J10" s="2950" t="s">
        <v>3055</v>
      </c>
    </row>
    <row r="11" spans="1:10" ht="38.25">
      <c r="A11" s="2279" t="s">
        <v>3006</v>
      </c>
      <c r="B11" s="2948" t="s">
        <v>3114</v>
      </c>
      <c r="C11" s="2276">
        <v>15</v>
      </c>
      <c r="D11" s="715" t="s">
        <v>3056</v>
      </c>
      <c r="E11" s="2955" t="e">
        <f>ROUND('数据-汇总表'!D3/666.67,2)</f>
        <v>#DIV/0!</v>
      </c>
      <c r="F11" s="2951" t="s">
        <v>3057</v>
      </c>
      <c r="G11" s="717" t="e">
        <f>C11*E11</f>
        <v>#DIV/0!</v>
      </c>
      <c r="H11" s="717" t="e">
        <f>ROUND(G11/'数据-汇总表'!D3*10000,2)</f>
        <v>#DIV/0!</v>
      </c>
      <c r="I11" s="2960">
        <f>ROUND(C11*10000/666.67,0)</f>
        <v>225</v>
      </c>
      <c r="J11" s="2950" t="s">
        <v>3058</v>
      </c>
    </row>
    <row r="12" spans="1:10">
      <c r="A12" s="2272" t="s">
        <v>2441</v>
      </c>
      <c r="B12" s="2948" t="s">
        <v>3010</v>
      </c>
      <c r="C12" s="715" t="s">
        <v>3054</v>
      </c>
      <c r="D12" s="715" t="s">
        <v>3054</v>
      </c>
      <c r="E12" s="715" t="s">
        <v>3054</v>
      </c>
      <c r="F12" s="716" t="s">
        <v>3054</v>
      </c>
      <c r="G12" s="717">
        <f>G13+G14</f>
        <v>0</v>
      </c>
      <c r="H12" s="717" t="e">
        <f>H13+H14</f>
        <v>#DIV/0!</v>
      </c>
      <c r="I12" s="2960"/>
      <c r="J12" s="2950" t="s">
        <v>3063</v>
      </c>
    </row>
    <row r="13" spans="1:10" ht="38.25">
      <c r="A13" s="2279" t="s">
        <v>3006</v>
      </c>
      <c r="B13" s="2948" t="s">
        <v>3012</v>
      </c>
      <c r="C13" s="2276">
        <v>1500</v>
      </c>
      <c r="D13" s="715" t="s">
        <v>3064</v>
      </c>
      <c r="E13" s="2967">
        <v>0</v>
      </c>
      <c r="F13" s="2952" t="s">
        <v>3057</v>
      </c>
      <c r="G13" s="717">
        <f>C13*E13/10000</f>
        <v>0</v>
      </c>
      <c r="H13" s="717" t="e">
        <f>ROUND(G13*10000/'数据-汇总表'!D3,2)</f>
        <v>#DIV/0!</v>
      </c>
      <c r="I13" s="2960"/>
      <c r="J13" s="2950" t="s">
        <v>3065</v>
      </c>
    </row>
    <row r="14" spans="1:10" ht="36">
      <c r="A14" s="2279" t="s">
        <v>3018</v>
      </c>
      <c r="B14" s="2948" t="s">
        <v>3115</v>
      </c>
      <c r="C14" s="2276">
        <v>2000</v>
      </c>
      <c r="D14" s="715" t="s">
        <v>3064</v>
      </c>
      <c r="E14" s="2966">
        <v>0</v>
      </c>
      <c r="F14" s="2952" t="s">
        <v>3057</v>
      </c>
      <c r="G14" s="717">
        <f>C14*E14/10000</f>
        <v>0</v>
      </c>
      <c r="H14" s="717" t="e">
        <f>ROUND(G14*10000/'数据-汇总表'!D3,2)</f>
        <v>#DIV/0!</v>
      </c>
      <c r="I14" s="2960"/>
      <c r="J14" s="2965" t="s">
        <v>3116</v>
      </c>
    </row>
    <row r="15" spans="1:10">
      <c r="A15" s="2279" t="s">
        <v>3015</v>
      </c>
      <c r="B15" s="2948" t="s">
        <v>3016</v>
      </c>
      <c r="C15" s="715" t="s">
        <v>3054</v>
      </c>
      <c r="D15" s="715" t="s">
        <v>3054</v>
      </c>
      <c r="E15" s="715" t="s">
        <v>3054</v>
      </c>
      <c r="F15" s="732" t="s">
        <v>3054</v>
      </c>
      <c r="G15" s="717">
        <f>G16+G17+G18+G19+G20+G21+G22</f>
        <v>0</v>
      </c>
      <c r="H15" s="717" t="e">
        <f>H16+H17+H18+H19+H20+H21+H22</f>
        <v>#DIV/0!</v>
      </c>
      <c r="I15" s="2960">
        <v>350</v>
      </c>
      <c r="J15" s="2950" t="s">
        <v>3075</v>
      </c>
    </row>
    <row r="16" spans="1:10" ht="37.5">
      <c r="A16" s="2279" t="s">
        <v>3006</v>
      </c>
      <c r="B16" s="2948" t="s">
        <v>3019</v>
      </c>
      <c r="C16" s="2276">
        <v>1300</v>
      </c>
      <c r="D16" s="715" t="s">
        <v>3076</v>
      </c>
      <c r="E16" s="2966">
        <v>0</v>
      </c>
      <c r="F16" s="2952" t="s">
        <v>3077</v>
      </c>
      <c r="G16" s="717">
        <f>C16*E16/10000</f>
        <v>0</v>
      </c>
      <c r="H16" s="717" t="e">
        <f>ROUND(G16*10000/'数据-汇总表'!D3,2)</f>
        <v>#DIV/0!</v>
      </c>
      <c r="I16" s="2960"/>
      <c r="J16" s="2950" t="s">
        <v>3117</v>
      </c>
    </row>
    <row r="17" spans="1:10" ht="25.5">
      <c r="A17" s="2279" t="s">
        <v>3018</v>
      </c>
      <c r="B17" s="2948" t="s">
        <v>3021</v>
      </c>
      <c r="C17" s="2276">
        <v>25</v>
      </c>
      <c r="D17" s="715" t="s">
        <v>3079</v>
      </c>
      <c r="E17" s="2966">
        <v>0</v>
      </c>
      <c r="F17" s="2952" t="s">
        <v>3080</v>
      </c>
      <c r="G17" s="717">
        <f>C17*E17</f>
        <v>0</v>
      </c>
      <c r="H17" s="717" t="e">
        <f>ROUND(G17*10000/'数据-汇总表'!D3,2)</f>
        <v>#DIV/0!</v>
      </c>
      <c r="I17" s="2960"/>
      <c r="J17" s="2950" t="s">
        <v>3118</v>
      </c>
    </row>
    <row r="18" spans="1:10" ht="49.5">
      <c r="A18" s="2279" t="s">
        <v>3011</v>
      </c>
      <c r="B18" s="2948" t="s">
        <v>3022</v>
      </c>
      <c r="C18" s="2276">
        <v>400</v>
      </c>
      <c r="D18" s="715" t="s">
        <v>3076</v>
      </c>
      <c r="E18" s="2966">
        <v>0</v>
      </c>
      <c r="F18" s="2952" t="s">
        <v>3077</v>
      </c>
      <c r="G18" s="717">
        <f>C18*E18/10000</f>
        <v>0</v>
      </c>
      <c r="H18" s="717" t="e">
        <f>ROUND(G18*10000/'数据-汇总表'!D3,2)</f>
        <v>#DIV/0!</v>
      </c>
      <c r="I18" s="2960"/>
      <c r="J18" s="2950" t="s">
        <v>3084</v>
      </c>
    </row>
    <row r="19" spans="1:10" ht="63">
      <c r="A19" s="2279" t="s">
        <v>3071</v>
      </c>
      <c r="B19" s="2948" t="s">
        <v>3023</v>
      </c>
      <c r="C19" s="2276">
        <v>35</v>
      </c>
      <c r="D19" s="715" t="s">
        <v>3085</v>
      </c>
      <c r="E19" s="2966">
        <v>0</v>
      </c>
      <c r="F19" s="2952" t="s">
        <v>3086</v>
      </c>
      <c r="G19" s="717">
        <f>C19*E19/10000</f>
        <v>0</v>
      </c>
      <c r="H19" s="717" t="e">
        <f>ROUND(G19*10000/'数据-汇总表'!D3,2)</f>
        <v>#DIV/0!</v>
      </c>
      <c r="I19" s="2960"/>
      <c r="J19" s="2950" t="s">
        <v>3087</v>
      </c>
    </row>
    <row r="20" spans="1:10" ht="37.5">
      <c r="A20" s="2279" t="s">
        <v>3072</v>
      </c>
      <c r="B20" s="2948" t="s">
        <v>3024</v>
      </c>
      <c r="C20" s="2276">
        <v>1300</v>
      </c>
      <c r="D20" s="715" t="s">
        <v>3076</v>
      </c>
      <c r="E20" s="2966">
        <v>0</v>
      </c>
      <c r="F20" s="2952" t="s">
        <v>3077</v>
      </c>
      <c r="G20" s="717">
        <f>C20*E20/10000</f>
        <v>0</v>
      </c>
      <c r="H20" s="717" t="e">
        <f>ROUND(G20*10000/'数据-汇总表'!D3,2)</f>
        <v>#DIV/0!</v>
      </c>
      <c r="I20" s="2960"/>
      <c r="J20" s="2950" t="s">
        <v>3119</v>
      </c>
    </row>
    <row r="21" spans="1:10" ht="38.25">
      <c r="A21" s="2279" t="s">
        <v>3073</v>
      </c>
      <c r="B21" s="2948" t="s">
        <v>3025</v>
      </c>
      <c r="C21" s="2276">
        <v>1495</v>
      </c>
      <c r="D21" s="715" t="s">
        <v>3076</v>
      </c>
      <c r="E21" s="2276"/>
      <c r="F21" s="2952" t="s">
        <v>3077</v>
      </c>
      <c r="G21" s="717">
        <f>ROUND(C21*E21/10000,2)</f>
        <v>0</v>
      </c>
      <c r="H21" s="717" t="e">
        <f>ROUND(G21*10000/'数据-汇总表'!D3,2)</f>
        <v>#DIV/0!</v>
      </c>
      <c r="I21" s="2960"/>
      <c r="J21" s="2950" t="s">
        <v>3120</v>
      </c>
    </row>
    <row r="22" spans="1:10" ht="63">
      <c r="A22" s="2279" t="s">
        <v>3074</v>
      </c>
      <c r="B22" s="2948" t="s">
        <v>3030</v>
      </c>
      <c r="C22" s="2955">
        <v>1.7</v>
      </c>
      <c r="D22" s="715" t="s">
        <v>3085</v>
      </c>
      <c r="E22" s="2966">
        <v>0</v>
      </c>
      <c r="F22" s="2952" t="s">
        <v>3086</v>
      </c>
      <c r="G22" s="717">
        <f>C22*E22/10000</f>
        <v>0</v>
      </c>
      <c r="H22" s="717" t="e">
        <f>ROUND(G22*10000/'数据-汇总表'!D3,2)</f>
        <v>#DIV/0!</v>
      </c>
      <c r="I22" s="2960"/>
      <c r="J22" s="2950" t="s">
        <v>3094</v>
      </c>
    </row>
    <row r="23" spans="1:10">
      <c r="A23" s="2279" t="s">
        <v>3026</v>
      </c>
      <c r="B23" s="2948" t="s">
        <v>3027</v>
      </c>
      <c r="C23" s="715" t="s">
        <v>3054</v>
      </c>
      <c r="D23" s="715" t="s">
        <v>3054</v>
      </c>
      <c r="E23" s="715" t="s">
        <v>3054</v>
      </c>
      <c r="F23" s="732" t="s">
        <v>3054</v>
      </c>
      <c r="G23" s="717">
        <f>G24+G25</f>
        <v>0</v>
      </c>
      <c r="H23" s="717" t="e">
        <f>H24+H25</f>
        <v>#DIV/0!</v>
      </c>
      <c r="I23" s="2960">
        <v>27</v>
      </c>
      <c r="J23" s="2950" t="s">
        <v>3091</v>
      </c>
    </row>
    <row r="24" spans="1:10" ht="62.25">
      <c r="A24" s="2279" t="s">
        <v>3006</v>
      </c>
      <c r="B24" s="2948" t="s">
        <v>3028</v>
      </c>
      <c r="C24" s="2955">
        <v>4.8</v>
      </c>
      <c r="D24" s="715" t="s">
        <v>3085</v>
      </c>
      <c r="E24" s="2966">
        <v>0</v>
      </c>
      <c r="F24" s="2952" t="s">
        <v>3086</v>
      </c>
      <c r="G24" s="717">
        <f>C24*E24/10000</f>
        <v>0</v>
      </c>
      <c r="H24" s="717" t="e">
        <f>ROUND(G24*10000/'数据-汇总表'!D3,2)</f>
        <v>#DIV/0!</v>
      </c>
      <c r="I24" s="2960"/>
      <c r="J24" s="2950" t="s">
        <v>3092</v>
      </c>
    </row>
    <row r="25" spans="1:10" ht="50.25">
      <c r="A25" s="2279" t="s">
        <v>3018</v>
      </c>
      <c r="B25" s="2948" t="s">
        <v>3029</v>
      </c>
      <c r="C25" s="2955">
        <v>1.6</v>
      </c>
      <c r="D25" s="715" t="s">
        <v>3085</v>
      </c>
      <c r="E25" s="2966">
        <v>0</v>
      </c>
      <c r="F25" s="2952" t="s">
        <v>3086</v>
      </c>
      <c r="G25" s="717">
        <f>C25*E25/10000</f>
        <v>0</v>
      </c>
      <c r="H25" s="717" t="e">
        <f>ROUND(G25*10000/'数据-汇总表'!D3,2)</f>
        <v>#DIV/0!</v>
      </c>
      <c r="I25" s="2960"/>
      <c r="J25" s="2950" t="s">
        <v>3093</v>
      </c>
    </row>
    <row r="26" spans="1:10">
      <c r="A26" s="2272" t="s">
        <v>3031</v>
      </c>
      <c r="B26" s="2949" t="s">
        <v>3033</v>
      </c>
      <c r="C26" s="715" t="s">
        <v>3054</v>
      </c>
      <c r="D26" s="715" t="s">
        <v>3054</v>
      </c>
      <c r="E26" s="715" t="s">
        <v>3054</v>
      </c>
      <c r="F26" s="732" t="s">
        <v>3054</v>
      </c>
      <c r="G26" s="717" t="e">
        <f>G27+G28+G29+G30</f>
        <v>#DIV/0!</v>
      </c>
      <c r="H26" s="717" t="e">
        <f>H27+H28+H29+H30</f>
        <v>#DIV/0!</v>
      </c>
      <c r="I26" s="2960">
        <v>39.200000000000003</v>
      </c>
      <c r="J26" s="2950" t="s">
        <v>3095</v>
      </c>
    </row>
    <row r="27" spans="1:10" ht="38.25">
      <c r="A27" s="2272" t="s">
        <v>2440</v>
      </c>
      <c r="B27" s="2948" t="s">
        <v>3034</v>
      </c>
      <c r="C27" s="2974">
        <v>40</v>
      </c>
      <c r="D27" s="715" t="s">
        <v>3076</v>
      </c>
      <c r="E27" s="2969" t="e">
        <f>'数据-汇总表'!D3</f>
        <v>#DIV/0!</v>
      </c>
      <c r="F27" s="2956" t="s">
        <v>3057</v>
      </c>
      <c r="G27" s="717" t="e">
        <f>ROUND(C27*E27/10000,2)</f>
        <v>#DIV/0!</v>
      </c>
      <c r="H27" s="717" t="e">
        <f>ROUND(G27*10000/'数据-汇总表'!D3,2)</f>
        <v>#DIV/0!</v>
      </c>
      <c r="I27" s="2960"/>
      <c r="J27" s="2950" t="s">
        <v>3096</v>
      </c>
    </row>
    <row r="28" spans="1:10" ht="51">
      <c r="A28" s="2272" t="s">
        <v>2441</v>
      </c>
      <c r="B28" s="2948" t="s">
        <v>3035</v>
      </c>
      <c r="C28" s="2276">
        <v>20</v>
      </c>
      <c r="D28" s="715" t="s">
        <v>3076</v>
      </c>
      <c r="E28" s="2969" t="e">
        <f>'数据-汇总表'!D3</f>
        <v>#DIV/0!</v>
      </c>
      <c r="F28" s="2956" t="s">
        <v>3057</v>
      </c>
      <c r="G28" s="717" t="e">
        <f t="shared" ref="G28:G30" si="0">ROUND(C28*E28/10000,2)</f>
        <v>#DIV/0!</v>
      </c>
      <c r="H28" s="717" t="e">
        <f>ROUND(G28*10000/'数据-汇总表'!D3,2)</f>
        <v>#DIV/0!</v>
      </c>
      <c r="I28" s="2960"/>
      <c r="J28" s="2950" t="s">
        <v>3097</v>
      </c>
    </row>
    <row r="29" spans="1:10" ht="63">
      <c r="A29" s="2279" t="s">
        <v>3015</v>
      </c>
      <c r="B29" s="2948" t="s">
        <v>3036</v>
      </c>
      <c r="C29" s="2276">
        <v>12</v>
      </c>
      <c r="D29" s="715" t="s">
        <v>3056</v>
      </c>
      <c r="E29" s="2969" t="e">
        <f>E11</f>
        <v>#DIV/0!</v>
      </c>
      <c r="F29" s="2956" t="s">
        <v>3057</v>
      </c>
      <c r="G29" s="717" t="e">
        <f t="shared" si="0"/>
        <v>#DIV/0!</v>
      </c>
      <c r="H29" s="717" t="e">
        <f>ROUND(G29*10000/'数据-汇总表'!D3,2)</f>
        <v>#DIV/0!</v>
      </c>
      <c r="I29" s="2960"/>
      <c r="J29" s="2950" t="s">
        <v>3099</v>
      </c>
    </row>
    <row r="30" spans="1:10" ht="50.25">
      <c r="A30" s="2279" t="s">
        <v>3026</v>
      </c>
      <c r="B30" s="2948" t="s">
        <v>3037</v>
      </c>
      <c r="C30" s="2276">
        <v>15</v>
      </c>
      <c r="D30" s="715" t="s">
        <v>3076</v>
      </c>
      <c r="E30" s="2969" t="e">
        <f>E27</f>
        <v>#DIV/0!</v>
      </c>
      <c r="F30" s="2956" t="s">
        <v>3057</v>
      </c>
      <c r="G30" s="717" t="e">
        <f t="shared" si="0"/>
        <v>#DIV/0!</v>
      </c>
      <c r="H30" s="717" t="e">
        <f>ROUND(G30*10000/'数据-汇总表'!D3,2)</f>
        <v>#DIV/0!</v>
      </c>
      <c r="I30" s="2960"/>
      <c r="J30" s="2950" t="s">
        <v>3100</v>
      </c>
    </row>
    <row r="31" spans="1:10" ht="24.75">
      <c r="A31" s="2272" t="s">
        <v>3039</v>
      </c>
      <c r="B31" s="2949" t="s">
        <v>3038</v>
      </c>
      <c r="C31" s="715" t="s">
        <v>3054</v>
      </c>
      <c r="D31" s="715" t="s">
        <v>3054</v>
      </c>
      <c r="E31" s="715" t="s">
        <v>3054</v>
      </c>
      <c r="F31" s="732" t="s">
        <v>3054</v>
      </c>
      <c r="G31" s="717" t="e">
        <f>ROUND(H31*'数据-汇总表'!D3/10000,2)</f>
        <v>#DIV/0!</v>
      </c>
      <c r="H31" s="717">
        <v>100</v>
      </c>
      <c r="I31" s="2960">
        <v>100</v>
      </c>
      <c r="J31" s="2950" t="s">
        <v>3101</v>
      </c>
    </row>
    <row r="32" spans="1:10" ht="37.5">
      <c r="A32" s="2272" t="s">
        <v>3040</v>
      </c>
      <c r="B32" s="2949" t="s">
        <v>3041</v>
      </c>
      <c r="C32" s="2957">
        <v>4.3499999999999997E-2</v>
      </c>
      <c r="D32" s="715" t="s">
        <v>3054</v>
      </c>
      <c r="E32" s="2276">
        <v>1</v>
      </c>
      <c r="F32" s="2952" t="s">
        <v>3102</v>
      </c>
      <c r="G32" s="717" t="e">
        <f>ROUND((G9+G26)*E32*C32+G31*(E32/2)*C32,2)</f>
        <v>#DIV/0!</v>
      </c>
      <c r="H32" s="717" t="e">
        <f>ROUND((H9+H26)*E32*C32+H31*(E32/2)*C32,2)</f>
        <v>#DIV/0!</v>
      </c>
      <c r="I32" s="2960">
        <f>ROUND((I9+I26)*E32*C32+I31*(E32/2)*C32,2)</f>
        <v>30.07</v>
      </c>
      <c r="J32" s="2950" t="s">
        <v>3103</v>
      </c>
    </row>
    <row r="33" spans="1:10" ht="25.5">
      <c r="A33" s="2272" t="s">
        <v>3042</v>
      </c>
      <c r="B33" s="2949" t="s">
        <v>3043</v>
      </c>
      <c r="C33" s="2957">
        <v>0.15</v>
      </c>
      <c r="D33" s="715" t="s">
        <v>3054</v>
      </c>
      <c r="E33" s="715" t="s">
        <v>3054</v>
      </c>
      <c r="F33" s="732" t="s">
        <v>3054</v>
      </c>
      <c r="G33" s="717" t="e">
        <f>ROUND((G9+G26+G31)*8%,2)</f>
        <v>#DIV/0!</v>
      </c>
      <c r="H33" s="717" t="e">
        <f>ROUND((H9+H26+H31)*8%,2)</f>
        <v>#DIV/0!</v>
      </c>
      <c r="I33" s="2960">
        <f>ROUND((I9+I26+I31)*C33,2)</f>
        <v>111.18</v>
      </c>
      <c r="J33" s="2950" t="s">
        <v>3104</v>
      </c>
    </row>
    <row r="34" spans="1:10" ht="25.5">
      <c r="A34" s="2272" t="s">
        <v>3044</v>
      </c>
      <c r="B34" s="2949" t="s">
        <v>3045</v>
      </c>
      <c r="C34" s="715" t="s">
        <v>3054</v>
      </c>
      <c r="D34" s="715" t="s">
        <v>3054</v>
      </c>
      <c r="E34" s="715" t="s">
        <v>3054</v>
      </c>
      <c r="F34" s="732" t="s">
        <v>3054</v>
      </c>
      <c r="G34" s="717" t="e">
        <f>ROUND(G9+G26+G31+G32+G33,2)</f>
        <v>#DIV/0!</v>
      </c>
      <c r="H34" s="717" t="e">
        <f>ROUND(H9+H26+H31+H32+H33,2)</f>
        <v>#DIV/0!</v>
      </c>
      <c r="I34" s="2960">
        <f>ROUND(I9+I26+I31+I32+I33,2)</f>
        <v>882.45</v>
      </c>
      <c r="J34" s="2950" t="s">
        <v>3106</v>
      </c>
    </row>
    <row r="35" spans="1:10" ht="37.5">
      <c r="A35" s="2272" t="s">
        <v>3046</v>
      </c>
      <c r="B35" s="2949" t="s">
        <v>3047</v>
      </c>
      <c r="C35" s="2968">
        <v>0.4</v>
      </c>
      <c r="D35" s="715" t="s">
        <v>3054</v>
      </c>
      <c r="E35" s="715" t="s">
        <v>3054</v>
      </c>
      <c r="F35" s="732" t="s">
        <v>3054</v>
      </c>
      <c r="G35" s="717" t="e">
        <f>ROUND(G34*C35,2)</f>
        <v>#DIV/0!</v>
      </c>
      <c r="H35" s="717" t="e">
        <f>ROUND(H34*C35,2)</f>
        <v>#DIV/0!</v>
      </c>
      <c r="I35" s="2960">
        <f>ROUND(I34*C35,2)</f>
        <v>352.98</v>
      </c>
      <c r="J35" s="2950" t="s">
        <v>3121</v>
      </c>
    </row>
    <row r="36" spans="1:10">
      <c r="A36" s="2272" t="s">
        <v>3048</v>
      </c>
      <c r="B36" s="2949" t="s">
        <v>3049</v>
      </c>
      <c r="C36" s="2975">
        <f>ROUND(0.9457*C40,4)</f>
        <v>0.81710000000000005</v>
      </c>
      <c r="D36" s="715" t="s">
        <v>3054</v>
      </c>
      <c r="E36" s="715" t="s">
        <v>3054</v>
      </c>
      <c r="F36" s="732" t="s">
        <v>3054</v>
      </c>
      <c r="G36" s="732" t="s">
        <v>3054</v>
      </c>
      <c r="H36" s="732" t="s">
        <v>3054</v>
      </c>
      <c r="I36" s="2962" t="s">
        <v>3054</v>
      </c>
      <c r="J36" s="2950" t="s">
        <v>3107</v>
      </c>
    </row>
    <row r="37" spans="1:10">
      <c r="A37" s="2272" t="s">
        <v>3050</v>
      </c>
      <c r="B37" s="2949" t="s">
        <v>3051</v>
      </c>
      <c r="C37" s="2969">
        <v>1.006</v>
      </c>
      <c r="D37" s="715" t="s">
        <v>3054</v>
      </c>
      <c r="E37" s="715" t="s">
        <v>3054</v>
      </c>
      <c r="F37" s="715" t="s">
        <v>3054</v>
      </c>
      <c r="G37" s="715" t="s">
        <v>3054</v>
      </c>
      <c r="H37" s="715" t="s">
        <v>3054</v>
      </c>
      <c r="I37" s="2963" t="s">
        <v>3054</v>
      </c>
      <c r="J37" s="2950" t="s">
        <v>3108</v>
      </c>
    </row>
    <row r="38" spans="1:10" ht="25.5">
      <c r="A38" s="2272" t="s">
        <v>3052</v>
      </c>
      <c r="B38" s="2949" t="s">
        <v>3053</v>
      </c>
      <c r="C38" s="715" t="s">
        <v>3054</v>
      </c>
      <c r="D38" s="715" t="s">
        <v>3054</v>
      </c>
      <c r="E38" s="715" t="s">
        <v>3054</v>
      </c>
      <c r="F38" s="715" t="s">
        <v>3054</v>
      </c>
      <c r="G38" s="717" t="e">
        <f>ROUND((G34+G35)*C36*C37,0)</f>
        <v>#DIV/0!</v>
      </c>
      <c r="H38" s="717" t="e">
        <f>ROUND((H34+H35)*C36*C37,0)</f>
        <v>#DIV/0!</v>
      </c>
      <c r="I38" s="2960">
        <f>ROUND((I34+I35)*C36*C37,0)</f>
        <v>1016</v>
      </c>
      <c r="J38" s="2950" t="s">
        <v>3122</v>
      </c>
    </row>
    <row r="40" spans="1:10">
      <c r="B40" s="2970" t="s">
        <v>3129</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3123</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t="e">
        <f>G10+G12+G15+G23</f>
        <v>#DIV/0!</v>
      </c>
      <c r="H9" s="2959" t="e">
        <f>H10+H12+H15+H23</f>
        <v>#DIV/0!</v>
      </c>
      <c r="I9" s="2960">
        <f>I10+I12+I15+I23</f>
        <v>602</v>
      </c>
      <c r="J9" s="2947" t="s">
        <v>3004</v>
      </c>
    </row>
    <row r="10" spans="1:10" ht="21" customHeight="1">
      <c r="A10" s="2272" t="s">
        <v>2440</v>
      </c>
      <c r="B10" s="2948" t="s">
        <v>3005</v>
      </c>
      <c r="C10" s="715" t="s">
        <v>3054</v>
      </c>
      <c r="D10" s="715" t="s">
        <v>3054</v>
      </c>
      <c r="E10" s="716" t="s">
        <v>3054</v>
      </c>
      <c r="F10" s="716" t="s">
        <v>3054</v>
      </c>
      <c r="G10" s="717" t="e">
        <f>G11</f>
        <v>#DIV/0!</v>
      </c>
      <c r="H10" s="717" t="e">
        <f>H11</f>
        <v>#DIV/0!</v>
      </c>
      <c r="I10" s="2960">
        <f>I11</f>
        <v>225</v>
      </c>
      <c r="J10" s="2950" t="s">
        <v>3055</v>
      </c>
    </row>
    <row r="11" spans="1:10" ht="38.25">
      <c r="A11" s="2279" t="s">
        <v>3006</v>
      </c>
      <c r="B11" s="2948" t="s">
        <v>3114</v>
      </c>
      <c r="C11" s="2276">
        <v>15</v>
      </c>
      <c r="D11" s="715" t="s">
        <v>3056</v>
      </c>
      <c r="E11" s="2955" t="e">
        <f>ROUND('数据-汇总表'!D3/666.67,2)</f>
        <v>#DIV/0!</v>
      </c>
      <c r="F11" s="2951" t="s">
        <v>3057</v>
      </c>
      <c r="G11" s="717" t="e">
        <f>C11*E11</f>
        <v>#DIV/0!</v>
      </c>
      <c r="H11" s="717" t="e">
        <f>ROUND(G11/'数据-汇总表'!D3*10000,2)</f>
        <v>#DIV/0!</v>
      </c>
      <c r="I11" s="2960">
        <f>ROUND(C11*10000/666.67,0)</f>
        <v>225</v>
      </c>
      <c r="J11" s="2950" t="s">
        <v>3058</v>
      </c>
    </row>
    <row r="12" spans="1:10">
      <c r="A12" s="2272" t="s">
        <v>2441</v>
      </c>
      <c r="B12" s="2948" t="s">
        <v>3010</v>
      </c>
      <c r="C12" s="715" t="s">
        <v>3054</v>
      </c>
      <c r="D12" s="715" t="s">
        <v>3054</v>
      </c>
      <c r="E12" s="715" t="s">
        <v>3054</v>
      </c>
      <c r="F12" s="716" t="s">
        <v>3054</v>
      </c>
      <c r="G12" s="717">
        <f>G13+G14</f>
        <v>0</v>
      </c>
      <c r="H12" s="717" t="e">
        <f>H13+H14</f>
        <v>#DIV/0!</v>
      </c>
      <c r="I12" s="2960"/>
      <c r="J12" s="2950" t="s">
        <v>3063</v>
      </c>
    </row>
    <row r="13" spans="1:10" ht="38.25">
      <c r="A13" s="2279" t="s">
        <v>3006</v>
      </c>
      <c r="B13" s="2948" t="s">
        <v>3012</v>
      </c>
      <c r="C13" s="2276">
        <v>1500</v>
      </c>
      <c r="D13" s="715" t="s">
        <v>3064</v>
      </c>
      <c r="E13" s="2967">
        <v>0</v>
      </c>
      <c r="F13" s="2952" t="s">
        <v>3057</v>
      </c>
      <c r="G13" s="717">
        <f>C13*E13/10000</f>
        <v>0</v>
      </c>
      <c r="H13" s="717" t="e">
        <f>ROUND(G13*10000/'数据-汇总表'!D3,2)</f>
        <v>#DIV/0!</v>
      </c>
      <c r="I13" s="2960"/>
      <c r="J13" s="2950" t="s">
        <v>3065</v>
      </c>
    </row>
    <row r="14" spans="1:10" ht="36">
      <c r="A14" s="2279" t="s">
        <v>3018</v>
      </c>
      <c r="B14" s="2948" t="s">
        <v>3115</v>
      </c>
      <c r="C14" s="2276">
        <v>2000</v>
      </c>
      <c r="D14" s="715" t="s">
        <v>3064</v>
      </c>
      <c r="E14" s="2966">
        <v>0</v>
      </c>
      <c r="F14" s="2952" t="s">
        <v>3057</v>
      </c>
      <c r="G14" s="717">
        <f>C14*E14/10000</f>
        <v>0</v>
      </c>
      <c r="H14" s="717" t="e">
        <f>ROUND(G14*10000/'数据-汇总表'!D3,2)</f>
        <v>#DIV/0!</v>
      </c>
      <c r="I14" s="2960"/>
      <c r="J14" s="2965" t="s">
        <v>3116</v>
      </c>
    </row>
    <row r="15" spans="1:10">
      <c r="A15" s="2279" t="s">
        <v>3015</v>
      </c>
      <c r="B15" s="2948" t="s">
        <v>3016</v>
      </c>
      <c r="C15" s="715" t="s">
        <v>3054</v>
      </c>
      <c r="D15" s="715" t="s">
        <v>3054</v>
      </c>
      <c r="E15" s="715" t="s">
        <v>3054</v>
      </c>
      <c r="F15" s="732" t="s">
        <v>3054</v>
      </c>
      <c r="G15" s="717">
        <f>G16+G17+G18+G19+G20+G21+G22</f>
        <v>0</v>
      </c>
      <c r="H15" s="717" t="e">
        <f>H16+H17+H18+H19+H20+H21+H22</f>
        <v>#DIV/0!</v>
      </c>
      <c r="I15" s="2960">
        <v>350</v>
      </c>
      <c r="J15" s="2950" t="s">
        <v>3075</v>
      </c>
    </row>
    <row r="16" spans="1:10" ht="37.5">
      <c r="A16" s="2279" t="s">
        <v>3006</v>
      </c>
      <c r="B16" s="2948" t="s">
        <v>3019</v>
      </c>
      <c r="C16" s="2276">
        <v>1300</v>
      </c>
      <c r="D16" s="715" t="s">
        <v>3076</v>
      </c>
      <c r="E16" s="2966">
        <v>0</v>
      </c>
      <c r="F16" s="2952" t="s">
        <v>3077</v>
      </c>
      <c r="G16" s="717">
        <f>C16*E16/10000</f>
        <v>0</v>
      </c>
      <c r="H16" s="717" t="e">
        <f>ROUND(G16*10000/'数据-汇总表'!D3,2)</f>
        <v>#DIV/0!</v>
      </c>
      <c r="I16" s="2960"/>
      <c r="J16" s="2950" t="s">
        <v>3117</v>
      </c>
    </row>
    <row r="17" spans="1:10" ht="25.5">
      <c r="A17" s="2279" t="s">
        <v>3018</v>
      </c>
      <c r="B17" s="2948" t="s">
        <v>3021</v>
      </c>
      <c r="C17" s="2276">
        <v>25</v>
      </c>
      <c r="D17" s="715" t="s">
        <v>3079</v>
      </c>
      <c r="E17" s="2966">
        <v>0</v>
      </c>
      <c r="F17" s="2952" t="s">
        <v>3080</v>
      </c>
      <c r="G17" s="717">
        <f>C17*E17</f>
        <v>0</v>
      </c>
      <c r="H17" s="717" t="e">
        <f>ROUND(G17*10000/'数据-汇总表'!D3,2)</f>
        <v>#DIV/0!</v>
      </c>
      <c r="I17" s="2960"/>
      <c r="J17" s="2950" t="s">
        <v>3118</v>
      </c>
    </row>
    <row r="18" spans="1:10" ht="49.5">
      <c r="A18" s="2279" t="s">
        <v>3011</v>
      </c>
      <c r="B18" s="2948" t="s">
        <v>3022</v>
      </c>
      <c r="C18" s="2276">
        <v>400</v>
      </c>
      <c r="D18" s="715" t="s">
        <v>3076</v>
      </c>
      <c r="E18" s="2966">
        <v>0</v>
      </c>
      <c r="F18" s="2952" t="s">
        <v>3077</v>
      </c>
      <c r="G18" s="717">
        <f>C18*E18/10000</f>
        <v>0</v>
      </c>
      <c r="H18" s="717" t="e">
        <f>ROUND(G18*10000/'数据-汇总表'!D3,2)</f>
        <v>#DIV/0!</v>
      </c>
      <c r="I18" s="2960"/>
      <c r="J18" s="2950" t="s">
        <v>3084</v>
      </c>
    </row>
    <row r="19" spans="1:10" ht="63">
      <c r="A19" s="2279" t="s">
        <v>3071</v>
      </c>
      <c r="B19" s="2948" t="s">
        <v>3023</v>
      </c>
      <c r="C19" s="2276">
        <v>35</v>
      </c>
      <c r="D19" s="715" t="s">
        <v>3085</v>
      </c>
      <c r="E19" s="2966">
        <v>0</v>
      </c>
      <c r="F19" s="2952" t="s">
        <v>3086</v>
      </c>
      <c r="G19" s="717">
        <f>C19*E19/10000</f>
        <v>0</v>
      </c>
      <c r="H19" s="717" t="e">
        <f>ROUND(G19*10000/'数据-汇总表'!D3,2)</f>
        <v>#DIV/0!</v>
      </c>
      <c r="I19" s="2960"/>
      <c r="J19" s="2950" t="s">
        <v>3087</v>
      </c>
    </row>
    <row r="20" spans="1:10" ht="37.5">
      <c r="A20" s="2279" t="s">
        <v>3072</v>
      </c>
      <c r="B20" s="2948" t="s">
        <v>3024</v>
      </c>
      <c r="C20" s="2276">
        <v>1300</v>
      </c>
      <c r="D20" s="715" t="s">
        <v>3076</v>
      </c>
      <c r="E20" s="2966">
        <v>0</v>
      </c>
      <c r="F20" s="2952" t="s">
        <v>3077</v>
      </c>
      <c r="G20" s="717">
        <f>C20*E20/10000</f>
        <v>0</v>
      </c>
      <c r="H20" s="717" t="e">
        <f>ROUND(G20*10000/'数据-汇总表'!D3,2)</f>
        <v>#DIV/0!</v>
      </c>
      <c r="I20" s="2960"/>
      <c r="J20" s="2950" t="s">
        <v>3119</v>
      </c>
    </row>
    <row r="21" spans="1:10" ht="38.25">
      <c r="A21" s="2279" t="s">
        <v>3073</v>
      </c>
      <c r="B21" s="2948" t="s">
        <v>3025</v>
      </c>
      <c r="C21" s="2276">
        <v>1495</v>
      </c>
      <c r="D21" s="715" t="s">
        <v>3076</v>
      </c>
      <c r="E21" s="2276"/>
      <c r="F21" s="2952" t="s">
        <v>3077</v>
      </c>
      <c r="G21" s="717">
        <f>ROUND(C21*E21/10000,2)</f>
        <v>0</v>
      </c>
      <c r="H21" s="717" t="e">
        <f>ROUND(G21*10000/'数据-汇总表'!D3,2)</f>
        <v>#DIV/0!</v>
      </c>
      <c r="I21" s="2960"/>
      <c r="J21" s="2950" t="s">
        <v>3120</v>
      </c>
    </row>
    <row r="22" spans="1:10" ht="63">
      <c r="A22" s="2279" t="s">
        <v>3074</v>
      </c>
      <c r="B22" s="2948" t="s">
        <v>3030</v>
      </c>
      <c r="C22" s="2955">
        <v>1.7</v>
      </c>
      <c r="D22" s="715" t="s">
        <v>3085</v>
      </c>
      <c r="E22" s="2966">
        <v>0</v>
      </c>
      <c r="F22" s="2952" t="s">
        <v>3086</v>
      </c>
      <c r="G22" s="717">
        <f>C22*E22/10000</f>
        <v>0</v>
      </c>
      <c r="H22" s="717" t="e">
        <f>ROUND(G22*10000/'数据-汇总表'!D3,2)</f>
        <v>#DIV/0!</v>
      </c>
      <c r="I22" s="2960"/>
      <c r="J22" s="2950" t="s">
        <v>3094</v>
      </c>
    </row>
    <row r="23" spans="1:10">
      <c r="A23" s="2279" t="s">
        <v>3026</v>
      </c>
      <c r="B23" s="2948" t="s">
        <v>3027</v>
      </c>
      <c r="C23" s="715" t="s">
        <v>3054</v>
      </c>
      <c r="D23" s="715" t="s">
        <v>3054</v>
      </c>
      <c r="E23" s="715" t="s">
        <v>3054</v>
      </c>
      <c r="F23" s="732" t="s">
        <v>3054</v>
      </c>
      <c r="G23" s="717">
        <f>G24+G25</f>
        <v>0</v>
      </c>
      <c r="H23" s="717" t="e">
        <f>H24+H25</f>
        <v>#DIV/0!</v>
      </c>
      <c r="I23" s="2960">
        <v>27</v>
      </c>
      <c r="J23" s="2950" t="s">
        <v>3091</v>
      </c>
    </row>
    <row r="24" spans="1:10" ht="62.25">
      <c r="A24" s="2279" t="s">
        <v>3006</v>
      </c>
      <c r="B24" s="2948" t="s">
        <v>3028</v>
      </c>
      <c r="C24" s="2955">
        <v>4.8</v>
      </c>
      <c r="D24" s="715" t="s">
        <v>3085</v>
      </c>
      <c r="E24" s="2966">
        <v>0</v>
      </c>
      <c r="F24" s="2952" t="s">
        <v>3086</v>
      </c>
      <c r="G24" s="717">
        <f>C24*E24/10000</f>
        <v>0</v>
      </c>
      <c r="H24" s="717" t="e">
        <f>ROUND(G24*10000/'数据-汇总表'!D3,2)</f>
        <v>#DIV/0!</v>
      </c>
      <c r="I24" s="2960"/>
      <c r="J24" s="2950" t="s">
        <v>3092</v>
      </c>
    </row>
    <row r="25" spans="1:10" ht="50.25">
      <c r="A25" s="2279" t="s">
        <v>3018</v>
      </c>
      <c r="B25" s="2948" t="s">
        <v>3029</v>
      </c>
      <c r="C25" s="2955">
        <v>1.6</v>
      </c>
      <c r="D25" s="715" t="s">
        <v>3085</v>
      </c>
      <c r="E25" s="2966">
        <v>0</v>
      </c>
      <c r="F25" s="2952" t="s">
        <v>3086</v>
      </c>
      <c r="G25" s="717">
        <f>C25*E25/10000</f>
        <v>0</v>
      </c>
      <c r="H25" s="717" t="e">
        <f>ROUND(G25*10000/'数据-汇总表'!D3,2)</f>
        <v>#DIV/0!</v>
      </c>
      <c r="I25" s="2960"/>
      <c r="J25" s="2950" t="s">
        <v>3093</v>
      </c>
    </row>
    <row r="26" spans="1:10">
      <c r="A26" s="2272" t="s">
        <v>3031</v>
      </c>
      <c r="B26" s="2949" t="s">
        <v>3033</v>
      </c>
      <c r="C26" s="715" t="s">
        <v>3054</v>
      </c>
      <c r="D26" s="715" t="s">
        <v>3054</v>
      </c>
      <c r="E26" s="715" t="s">
        <v>3054</v>
      </c>
      <c r="F26" s="732" t="s">
        <v>3054</v>
      </c>
      <c r="G26" s="717" t="e">
        <f>G27+G28+G29+G30</f>
        <v>#DIV/0!</v>
      </c>
      <c r="H26" s="717" t="e">
        <f>H27+H28+H29+H30</f>
        <v>#DIV/0!</v>
      </c>
      <c r="I26" s="2960">
        <v>39.200000000000003</v>
      </c>
      <c r="J26" s="2950" t="s">
        <v>3095</v>
      </c>
    </row>
    <row r="27" spans="1:10" ht="38.25">
      <c r="A27" s="2272" t="s">
        <v>2440</v>
      </c>
      <c r="B27" s="2948" t="s">
        <v>3034</v>
      </c>
      <c r="C27" s="2974">
        <v>40</v>
      </c>
      <c r="D27" s="715" t="s">
        <v>3076</v>
      </c>
      <c r="E27" s="2969" t="e">
        <f>'数据-汇总表'!D3</f>
        <v>#DIV/0!</v>
      </c>
      <c r="F27" s="2956" t="s">
        <v>3057</v>
      </c>
      <c r="G27" s="717" t="e">
        <f>ROUND(C27*E27/10000,2)</f>
        <v>#DIV/0!</v>
      </c>
      <c r="H27" s="717" t="e">
        <f>ROUND(G27*10000/'数据-汇总表'!D3,2)</f>
        <v>#DIV/0!</v>
      </c>
      <c r="I27" s="2960"/>
      <c r="J27" s="2950" t="s">
        <v>3096</v>
      </c>
    </row>
    <row r="28" spans="1:10" ht="51">
      <c r="A28" s="2272" t="s">
        <v>2441</v>
      </c>
      <c r="B28" s="2948" t="s">
        <v>3035</v>
      </c>
      <c r="C28" s="2276">
        <v>20</v>
      </c>
      <c r="D28" s="715" t="s">
        <v>3076</v>
      </c>
      <c r="E28" s="2969" t="e">
        <f>'数据-汇总表'!D3</f>
        <v>#DIV/0!</v>
      </c>
      <c r="F28" s="2956" t="s">
        <v>3057</v>
      </c>
      <c r="G28" s="717" t="e">
        <f t="shared" ref="G28:G30" si="0">ROUND(C28*E28/10000,2)</f>
        <v>#DIV/0!</v>
      </c>
      <c r="H28" s="717" t="e">
        <f>ROUND(G28*10000/'数据-汇总表'!D3,2)</f>
        <v>#DIV/0!</v>
      </c>
      <c r="I28" s="2960"/>
      <c r="J28" s="2950" t="s">
        <v>3097</v>
      </c>
    </row>
    <row r="29" spans="1:10" ht="63">
      <c r="A29" s="2279" t="s">
        <v>3015</v>
      </c>
      <c r="B29" s="2948" t="s">
        <v>3036</v>
      </c>
      <c r="C29" s="2276">
        <v>12</v>
      </c>
      <c r="D29" s="715" t="s">
        <v>3056</v>
      </c>
      <c r="E29" s="2969" t="e">
        <f>E11</f>
        <v>#DIV/0!</v>
      </c>
      <c r="F29" s="2956" t="s">
        <v>3057</v>
      </c>
      <c r="G29" s="717" t="e">
        <f t="shared" si="0"/>
        <v>#DIV/0!</v>
      </c>
      <c r="H29" s="717" t="e">
        <f>ROUND(G29*10000/'数据-汇总表'!D3,2)</f>
        <v>#DIV/0!</v>
      </c>
      <c r="I29" s="2960"/>
      <c r="J29" s="2950" t="s">
        <v>3099</v>
      </c>
    </row>
    <row r="30" spans="1:10" ht="50.25">
      <c r="A30" s="2279" t="s">
        <v>3026</v>
      </c>
      <c r="B30" s="2948" t="s">
        <v>3037</v>
      </c>
      <c r="C30" s="2276">
        <v>15</v>
      </c>
      <c r="D30" s="715" t="s">
        <v>3076</v>
      </c>
      <c r="E30" s="2969" t="e">
        <f>E27</f>
        <v>#DIV/0!</v>
      </c>
      <c r="F30" s="2956" t="s">
        <v>3057</v>
      </c>
      <c r="G30" s="717" t="e">
        <f t="shared" si="0"/>
        <v>#DIV/0!</v>
      </c>
      <c r="H30" s="717" t="e">
        <f>ROUND(G30*10000/'数据-汇总表'!D3,2)</f>
        <v>#DIV/0!</v>
      </c>
      <c r="I30" s="2960"/>
      <c r="J30" s="2950" t="s">
        <v>3100</v>
      </c>
    </row>
    <row r="31" spans="1:10" ht="24.75">
      <c r="A31" s="2272" t="s">
        <v>3039</v>
      </c>
      <c r="B31" s="2949" t="s">
        <v>3038</v>
      </c>
      <c r="C31" s="715" t="s">
        <v>3054</v>
      </c>
      <c r="D31" s="715" t="s">
        <v>3054</v>
      </c>
      <c r="E31" s="715" t="s">
        <v>3054</v>
      </c>
      <c r="F31" s="732" t="s">
        <v>3054</v>
      </c>
      <c r="G31" s="717" t="e">
        <f>ROUND(H31*'数据-汇总表'!D3/10000,2)</f>
        <v>#DIV/0!</v>
      </c>
      <c r="H31" s="717">
        <v>100</v>
      </c>
      <c r="I31" s="2960">
        <v>100</v>
      </c>
      <c r="J31" s="2950" t="s">
        <v>3101</v>
      </c>
    </row>
    <row r="32" spans="1:10" ht="37.5">
      <c r="A32" s="2272" t="s">
        <v>3040</v>
      </c>
      <c r="B32" s="2949" t="s">
        <v>3041</v>
      </c>
      <c r="C32" s="2957">
        <v>4.3499999999999997E-2</v>
      </c>
      <c r="D32" s="715" t="s">
        <v>3054</v>
      </c>
      <c r="E32" s="2276">
        <v>1</v>
      </c>
      <c r="F32" s="2952" t="s">
        <v>3102</v>
      </c>
      <c r="G32" s="717" t="e">
        <f>ROUND((G9+G26)*E32*C32+G31*(E32/2)*C32,2)</f>
        <v>#DIV/0!</v>
      </c>
      <c r="H32" s="717" t="e">
        <f>ROUND((H9+H26)*E32*C32+H31*(E32/2)*C32,2)</f>
        <v>#DIV/0!</v>
      </c>
      <c r="I32" s="2960">
        <f>ROUND((I9+I26)*E32*C32+I31*(E32/2)*C32,2)</f>
        <v>30.07</v>
      </c>
      <c r="J32" s="2950" t="s">
        <v>3103</v>
      </c>
    </row>
    <row r="33" spans="1:10" ht="25.5">
      <c r="A33" s="2272" t="s">
        <v>3042</v>
      </c>
      <c r="B33" s="2949" t="s">
        <v>3043</v>
      </c>
      <c r="C33" s="2957">
        <v>0.15</v>
      </c>
      <c r="D33" s="715" t="s">
        <v>3054</v>
      </c>
      <c r="E33" s="715" t="s">
        <v>3054</v>
      </c>
      <c r="F33" s="732" t="s">
        <v>3054</v>
      </c>
      <c r="G33" s="717" t="e">
        <f>ROUND((G9+G26+G31)*8%,2)</f>
        <v>#DIV/0!</v>
      </c>
      <c r="H33" s="717" t="e">
        <f>ROUND((H9+H26+H31)*8%,2)</f>
        <v>#DIV/0!</v>
      </c>
      <c r="I33" s="2960">
        <f>ROUND((I9+I26+I31)*C33,2)</f>
        <v>111.18</v>
      </c>
      <c r="J33" s="2950" t="s">
        <v>3104</v>
      </c>
    </row>
    <row r="34" spans="1:10" ht="25.5">
      <c r="A34" s="2272" t="s">
        <v>3044</v>
      </c>
      <c r="B34" s="2949" t="s">
        <v>3045</v>
      </c>
      <c r="C34" s="715" t="s">
        <v>3054</v>
      </c>
      <c r="D34" s="715" t="s">
        <v>3054</v>
      </c>
      <c r="E34" s="715" t="s">
        <v>3054</v>
      </c>
      <c r="F34" s="732" t="s">
        <v>3054</v>
      </c>
      <c r="G34" s="717" t="e">
        <f>ROUND(G9+G26+G31+G32+G33,2)</f>
        <v>#DIV/0!</v>
      </c>
      <c r="H34" s="717" t="e">
        <f>ROUND(H9+H26+H31+H32+H33,2)</f>
        <v>#DIV/0!</v>
      </c>
      <c r="I34" s="2960">
        <f>ROUND(I9+I26+I31+I32+I33,2)</f>
        <v>882.45</v>
      </c>
      <c r="J34" s="2950" t="s">
        <v>3106</v>
      </c>
    </row>
    <row r="35" spans="1:10" ht="37.5">
      <c r="A35" s="2272" t="s">
        <v>3046</v>
      </c>
      <c r="B35" s="2949" t="s">
        <v>3047</v>
      </c>
      <c r="C35" s="2968">
        <v>0.4</v>
      </c>
      <c r="D35" s="715" t="s">
        <v>3054</v>
      </c>
      <c r="E35" s="715" t="s">
        <v>3054</v>
      </c>
      <c r="F35" s="732" t="s">
        <v>3054</v>
      </c>
      <c r="G35" s="717" t="e">
        <f>ROUND(G34*C35,2)</f>
        <v>#DIV/0!</v>
      </c>
      <c r="H35" s="717" t="e">
        <f>ROUND(H34*C35,2)</f>
        <v>#DIV/0!</v>
      </c>
      <c r="I35" s="2960">
        <f>ROUND(I34*C35,2)</f>
        <v>352.98</v>
      </c>
      <c r="J35" s="2950" t="s">
        <v>3121</v>
      </c>
    </row>
    <row r="36" spans="1:10">
      <c r="A36" s="2272" t="s">
        <v>3048</v>
      </c>
      <c r="B36" s="2949" t="s">
        <v>3049</v>
      </c>
      <c r="C36" s="2975">
        <f>ROUND(0.9457*C40,4)</f>
        <v>0.83409999999999995</v>
      </c>
      <c r="D36" s="715" t="s">
        <v>3054</v>
      </c>
      <c r="E36" s="715" t="s">
        <v>3054</v>
      </c>
      <c r="F36" s="732" t="s">
        <v>3054</v>
      </c>
      <c r="G36" s="732" t="s">
        <v>3054</v>
      </c>
      <c r="H36" s="732" t="s">
        <v>3054</v>
      </c>
      <c r="I36" s="2962" t="s">
        <v>3054</v>
      </c>
      <c r="J36" s="2950" t="s">
        <v>3107</v>
      </c>
    </row>
    <row r="37" spans="1:10">
      <c r="A37" s="2272" t="s">
        <v>3050</v>
      </c>
      <c r="B37" s="2949" t="s">
        <v>3051</v>
      </c>
      <c r="C37" s="2969">
        <v>1.006</v>
      </c>
      <c r="D37" s="715" t="s">
        <v>3054</v>
      </c>
      <c r="E37" s="715" t="s">
        <v>3054</v>
      </c>
      <c r="F37" s="715" t="s">
        <v>3054</v>
      </c>
      <c r="G37" s="715" t="s">
        <v>3054</v>
      </c>
      <c r="H37" s="715" t="s">
        <v>3054</v>
      </c>
      <c r="I37" s="2963" t="s">
        <v>3054</v>
      </c>
      <c r="J37" s="2950" t="s">
        <v>3108</v>
      </c>
    </row>
    <row r="38" spans="1:10" ht="25.5">
      <c r="A38" s="2272" t="s">
        <v>3052</v>
      </c>
      <c r="B38" s="2949" t="s">
        <v>3053</v>
      </c>
      <c r="C38" s="715" t="s">
        <v>3054</v>
      </c>
      <c r="D38" s="715" t="s">
        <v>3054</v>
      </c>
      <c r="E38" s="715" t="s">
        <v>3054</v>
      </c>
      <c r="F38" s="715" t="s">
        <v>3054</v>
      </c>
      <c r="G38" s="717" t="e">
        <f>ROUND((G34+G35)*C36*C37,0)</f>
        <v>#DIV/0!</v>
      </c>
      <c r="H38" s="717" t="e">
        <f>ROUND((H34+H35)*C36*C37,0)</f>
        <v>#DIV/0!</v>
      </c>
      <c r="I38" s="2960">
        <f>ROUND((I34+I35)*C36*C37,0)</f>
        <v>1037</v>
      </c>
      <c r="J38" s="2950" t="s">
        <v>3122</v>
      </c>
    </row>
    <row r="40" spans="1:10">
      <c r="B40" s="2970" t="s">
        <v>3129</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979" t="s">
        <v>3148</v>
      </c>
      <c r="G1" s="2971">
        <v>3569.16</v>
      </c>
      <c r="H1" s="1960"/>
    </row>
    <row r="2" spans="1:10" ht="15.75">
      <c r="A2" s="404" t="s">
        <v>467</v>
      </c>
      <c r="B2" s="406">
        <f>ROUND(B4*G1/10000,4)</f>
        <v>325.50740000000002</v>
      </c>
      <c r="C2" s="1960"/>
      <c r="D2" s="1960"/>
      <c r="E2" s="1960"/>
      <c r="F2" s="1960"/>
      <c r="G2" s="1960"/>
      <c r="H2" s="1960"/>
    </row>
    <row r="3" spans="1:10" ht="15.75">
      <c r="A3" s="1307" t="s">
        <v>1684</v>
      </c>
      <c r="B3" s="406"/>
      <c r="C3" s="1960"/>
      <c r="D3" s="1960"/>
      <c r="E3" s="1960"/>
      <c r="F3" s="1960"/>
      <c r="G3" s="1960"/>
      <c r="H3" s="1960"/>
    </row>
    <row r="4" spans="1:10" ht="27">
      <c r="A4" s="2954" t="s">
        <v>468</v>
      </c>
      <c r="B4" s="408">
        <f>I23</f>
        <v>912</v>
      </c>
      <c r="C4" s="1917"/>
      <c r="D4" s="1960"/>
      <c r="E4" s="1960"/>
      <c r="F4" s="1960"/>
      <c r="G4" s="1960"/>
      <c r="H4" s="1960"/>
    </row>
    <row r="5" spans="1:10" ht="15.75">
      <c r="A5" s="410"/>
      <c r="B5" s="411">
        <f>ROUND(B2/(G1/666.67),0)</f>
        <v>61</v>
      </c>
      <c r="C5" s="412" t="s">
        <v>469</v>
      </c>
      <c r="D5" s="1960"/>
      <c r="E5" s="1960"/>
      <c r="F5" s="1960"/>
      <c r="G5" s="1960"/>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3141</v>
      </c>
      <c r="J7" s="3294" t="s">
        <v>3003</v>
      </c>
    </row>
    <row r="8" spans="1:10" ht="24">
      <c r="A8" s="3297"/>
      <c r="B8" s="3299"/>
      <c r="C8" s="2945" t="s">
        <v>2996</v>
      </c>
      <c r="D8" s="2945" t="s">
        <v>2997</v>
      </c>
      <c r="E8" s="2946" t="s">
        <v>2996</v>
      </c>
      <c r="F8" s="2946" t="s">
        <v>2997</v>
      </c>
      <c r="G8" s="2953" t="s">
        <v>3001</v>
      </c>
      <c r="H8" s="2953" t="s">
        <v>3112</v>
      </c>
      <c r="I8" s="2961" t="s">
        <v>3002</v>
      </c>
      <c r="J8" s="3295"/>
    </row>
    <row r="9" spans="1:10" ht="20.25" customHeight="1">
      <c r="A9" s="2272">
        <v>1</v>
      </c>
      <c r="B9" s="2949" t="s">
        <v>3032</v>
      </c>
      <c r="C9" s="715" t="s">
        <v>3054</v>
      </c>
      <c r="D9" s="715" t="s">
        <v>3054</v>
      </c>
      <c r="E9" s="716" t="s">
        <v>3054</v>
      </c>
      <c r="F9" s="716" t="s">
        <v>3054</v>
      </c>
      <c r="G9" s="2964"/>
      <c r="H9" s="2959"/>
      <c r="I9" s="2960">
        <f>I10+I12+I13</f>
        <v>602</v>
      </c>
      <c r="J9" s="2950" t="s">
        <v>3130</v>
      </c>
    </row>
    <row r="10" spans="1:10" ht="21" customHeight="1">
      <c r="A10" s="2272" t="s">
        <v>2440</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3033</v>
      </c>
      <c r="C14" s="715" t="s">
        <v>3054</v>
      </c>
      <c r="D14" s="715" t="s">
        <v>3054</v>
      </c>
      <c r="E14" s="715" t="s">
        <v>3054</v>
      </c>
      <c r="F14" s="732" t="s">
        <v>3054</v>
      </c>
      <c r="G14" s="717"/>
      <c r="H14" s="717"/>
      <c r="I14" s="2960">
        <v>39.200000000000003</v>
      </c>
      <c r="J14" s="2950" t="s">
        <v>3137</v>
      </c>
    </row>
    <row r="15" spans="1:10" ht="60">
      <c r="A15" s="2272" t="s">
        <v>2440</v>
      </c>
      <c r="B15" s="2948" t="s">
        <v>3034</v>
      </c>
      <c r="C15" s="2977">
        <v>39.200000000000003</v>
      </c>
      <c r="D15" s="715" t="s">
        <v>3083</v>
      </c>
      <c r="E15" s="2969"/>
      <c r="F15" s="2956" t="s">
        <v>3128</v>
      </c>
      <c r="G15" s="717"/>
      <c r="H15" s="717"/>
      <c r="I15" s="2960">
        <v>39.200000000000003</v>
      </c>
      <c r="J15" s="2965" t="s">
        <v>3138</v>
      </c>
    </row>
    <row r="16" spans="1:10">
      <c r="A16" s="2272" t="s">
        <v>3039</v>
      </c>
      <c r="B16" s="2949" t="s">
        <v>3038</v>
      </c>
      <c r="C16" s="715" t="s">
        <v>3054</v>
      </c>
      <c r="D16" s="715" t="s">
        <v>3054</v>
      </c>
      <c r="E16" s="715" t="s">
        <v>3054</v>
      </c>
      <c r="F16" s="732" t="s">
        <v>3054</v>
      </c>
      <c r="G16" s="717"/>
      <c r="H16" s="717"/>
      <c r="I16" s="2960">
        <v>100</v>
      </c>
      <c r="J16" s="2965" t="s">
        <v>3139</v>
      </c>
    </row>
    <row r="17" spans="1:10" ht="24.75">
      <c r="A17" s="2272" t="s">
        <v>3040</v>
      </c>
      <c r="B17" s="2949" t="s">
        <v>3041</v>
      </c>
      <c r="C17" s="2957">
        <v>4.3499999999999997E-2</v>
      </c>
      <c r="D17" s="715" t="s">
        <v>3054</v>
      </c>
      <c r="E17" s="2276">
        <v>1</v>
      </c>
      <c r="F17" s="2952" t="s">
        <v>3102</v>
      </c>
      <c r="G17" s="717"/>
      <c r="H17" s="717"/>
      <c r="I17" s="2960">
        <f>ROUND((I9+I14)*E17*C17+I16*(E17/2)*C17,2)</f>
        <v>30.07</v>
      </c>
      <c r="J17" s="2950" t="s">
        <v>3140</v>
      </c>
    </row>
    <row r="18" spans="1:10">
      <c r="A18" s="2272" t="s">
        <v>3042</v>
      </c>
      <c r="B18" s="2949" t="s">
        <v>3043</v>
      </c>
      <c r="C18" s="2957">
        <v>0.15</v>
      </c>
      <c r="D18" s="715" t="s">
        <v>3054</v>
      </c>
      <c r="E18" s="715" t="s">
        <v>3054</v>
      </c>
      <c r="F18" s="732" t="s">
        <v>3054</v>
      </c>
      <c r="G18" s="717"/>
      <c r="H18" s="717"/>
      <c r="I18" s="2960">
        <f>ROUND((I9+I14+I16)*C18,2)</f>
        <v>111.18</v>
      </c>
      <c r="J18" s="2950" t="s">
        <v>3142</v>
      </c>
    </row>
    <row r="19" spans="1:10">
      <c r="A19" s="2272" t="s">
        <v>3044</v>
      </c>
      <c r="B19" s="2949" t="s">
        <v>3045</v>
      </c>
      <c r="C19" s="715" t="s">
        <v>3054</v>
      </c>
      <c r="D19" s="715" t="s">
        <v>3054</v>
      </c>
      <c r="E19" s="715" t="s">
        <v>3054</v>
      </c>
      <c r="F19" s="732" t="s">
        <v>3054</v>
      </c>
      <c r="G19" s="717"/>
      <c r="H19" s="717"/>
      <c r="I19" s="2960">
        <f>ROUND(I9+I14+I16+I17+I18,2)</f>
        <v>882.45</v>
      </c>
      <c r="J19" s="2950" t="s">
        <v>3143</v>
      </c>
    </row>
    <row r="20" spans="1:10" ht="36.75">
      <c r="A20" s="2272" t="s">
        <v>3046</v>
      </c>
      <c r="B20" s="2949" t="s">
        <v>3047</v>
      </c>
      <c r="C20" s="2957">
        <v>0.4</v>
      </c>
      <c r="D20" s="715" t="s">
        <v>3054</v>
      </c>
      <c r="E20" s="715" t="s">
        <v>3054</v>
      </c>
      <c r="F20" s="732" t="s">
        <v>3054</v>
      </c>
      <c r="G20" s="717"/>
      <c r="H20" s="717"/>
      <c r="I20" s="2960">
        <f>ROUND(I19*C20,2)</f>
        <v>352.98</v>
      </c>
      <c r="J20" s="2950" t="s">
        <v>3144</v>
      </c>
    </row>
    <row r="21" spans="1:10">
      <c r="A21" s="2272" t="s">
        <v>3048</v>
      </c>
      <c r="B21" s="2949" t="s">
        <v>3049</v>
      </c>
      <c r="C21" s="2975">
        <f>ROUND(0.9457*C25,4)</f>
        <v>0.73480000000000001</v>
      </c>
      <c r="D21" s="715" t="s">
        <v>3054</v>
      </c>
      <c r="E21" s="715" t="s">
        <v>3054</v>
      </c>
      <c r="F21" s="732" t="s">
        <v>3054</v>
      </c>
      <c r="G21" s="732"/>
      <c r="H21" s="732"/>
      <c r="I21" s="2962" t="s">
        <v>3054</v>
      </c>
      <c r="J21" s="2950" t="s">
        <v>3107</v>
      </c>
    </row>
    <row r="22" spans="1:10">
      <c r="A22" s="2272" t="s">
        <v>3050</v>
      </c>
      <c r="B22" s="2949" t="s">
        <v>3051</v>
      </c>
      <c r="C22" s="2976">
        <v>1.0049999999999999</v>
      </c>
      <c r="D22" s="715" t="s">
        <v>3054</v>
      </c>
      <c r="E22" s="715" t="s">
        <v>3054</v>
      </c>
      <c r="F22" s="715" t="s">
        <v>3054</v>
      </c>
      <c r="G22" s="715"/>
      <c r="H22" s="715"/>
      <c r="I22" s="2963" t="s">
        <v>3054</v>
      </c>
      <c r="J22" s="2950" t="s">
        <v>3145</v>
      </c>
    </row>
    <row r="23" spans="1:10">
      <c r="A23" s="2272" t="s">
        <v>3052</v>
      </c>
      <c r="B23" s="2949" t="s">
        <v>3053</v>
      </c>
      <c r="C23" s="715" t="s">
        <v>3054</v>
      </c>
      <c r="D23" s="715" t="s">
        <v>3054</v>
      </c>
      <c r="E23" s="715" t="s">
        <v>3054</v>
      </c>
      <c r="F23" s="715" t="s">
        <v>3054</v>
      </c>
      <c r="G23" s="717"/>
      <c r="H23" s="717"/>
      <c r="I23" s="2960">
        <f>ROUND((I19+I20)*C21*C22,0)</f>
        <v>912</v>
      </c>
      <c r="J23" s="2950" t="s">
        <v>3146</v>
      </c>
    </row>
    <row r="25" spans="1:10">
      <c r="A25" s="2317"/>
      <c r="B25" s="2980" t="s">
        <v>3129</v>
      </c>
      <c r="C25" s="2317">
        <f>ROUND((1-1/(1+B26)^B29)/(1-1/(1+B26)^B30),3)</f>
        <v>0.77700000000000002</v>
      </c>
    </row>
    <row r="26" spans="1:10">
      <c r="A26" s="2981" t="s">
        <v>3153</v>
      </c>
      <c r="B26" s="2982">
        <v>0.06</v>
      </c>
      <c r="C26" s="2317"/>
    </row>
    <row r="27" spans="1:10">
      <c r="A27" s="2983" t="s">
        <v>3149</v>
      </c>
      <c r="B27" s="2984">
        <f>项目基本情况!D3</f>
        <v>45344</v>
      </c>
      <c r="C27" s="2317"/>
    </row>
    <row r="28" spans="1:10">
      <c r="A28" s="2983" t="s">
        <v>3150</v>
      </c>
      <c r="B28" s="2984">
        <v>53661</v>
      </c>
      <c r="C28" s="2317"/>
    </row>
    <row r="29" spans="1:10">
      <c r="A29" s="2983" t="s">
        <v>3152</v>
      </c>
      <c r="B29" s="2317">
        <f>ROUND((B28-B27)/365,2)</f>
        <v>22.79</v>
      </c>
      <c r="C29" s="2317"/>
    </row>
    <row r="30" spans="1:10">
      <c r="A30" s="2983" t="s">
        <v>3151</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979" t="s">
        <v>2949</v>
      </c>
      <c r="G1" s="2971">
        <v>9549</v>
      </c>
      <c r="H1" s="1960"/>
    </row>
    <row r="2" spans="1:10" ht="15.75">
      <c r="A2" s="404" t="s">
        <v>467</v>
      </c>
      <c r="B2" s="406">
        <f>ROUND(B4*G1/10000,4)</f>
        <v>1047.5253</v>
      </c>
      <c r="C2" s="1960"/>
      <c r="D2" s="1960"/>
      <c r="E2" s="1960"/>
      <c r="F2" s="1960"/>
      <c r="G2" s="1960"/>
      <c r="H2" s="1960"/>
    </row>
    <row r="3" spans="1:10" ht="15.75">
      <c r="A3" s="1307" t="s">
        <v>1684</v>
      </c>
      <c r="B3" s="406"/>
      <c r="C3" s="1960"/>
      <c r="D3" s="1960"/>
      <c r="E3" s="1960"/>
      <c r="F3" s="1960"/>
      <c r="G3" s="1960"/>
      <c r="H3" s="1960"/>
    </row>
    <row r="4" spans="1:10" ht="27">
      <c r="A4" s="2954" t="s">
        <v>468</v>
      </c>
      <c r="B4" s="408">
        <f>I23</f>
        <v>1097</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c r="H9" s="2959"/>
      <c r="I9" s="2960">
        <f>I10+I12+I13</f>
        <v>602</v>
      </c>
      <c r="J9" s="2950" t="s">
        <v>3130</v>
      </c>
    </row>
    <row r="10" spans="1:10" ht="21" customHeight="1">
      <c r="A10" s="2272" t="s">
        <v>2440</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3033</v>
      </c>
      <c r="C14" s="715" t="s">
        <v>3054</v>
      </c>
      <c r="D14" s="715" t="s">
        <v>3054</v>
      </c>
      <c r="E14" s="715" t="s">
        <v>3054</v>
      </c>
      <c r="F14" s="732" t="s">
        <v>3054</v>
      </c>
      <c r="G14" s="717"/>
      <c r="H14" s="717"/>
      <c r="I14" s="2960">
        <v>39.200000000000003</v>
      </c>
      <c r="J14" s="2950" t="s">
        <v>3137</v>
      </c>
    </row>
    <row r="15" spans="1:10" ht="60">
      <c r="A15" s="2272" t="s">
        <v>2440</v>
      </c>
      <c r="B15" s="2948" t="s">
        <v>3034</v>
      </c>
      <c r="C15" s="2977">
        <v>39.200000000000003</v>
      </c>
      <c r="D15" s="715" t="s">
        <v>3076</v>
      </c>
      <c r="E15" s="2969"/>
      <c r="F15" s="2956" t="s">
        <v>3057</v>
      </c>
      <c r="G15" s="717"/>
      <c r="H15" s="717"/>
      <c r="I15" s="2960">
        <v>39.200000000000003</v>
      </c>
      <c r="J15" s="2965" t="s">
        <v>3138</v>
      </c>
    </row>
    <row r="16" spans="1:10">
      <c r="A16" s="2272" t="s">
        <v>3039</v>
      </c>
      <c r="B16" s="2949" t="s">
        <v>3038</v>
      </c>
      <c r="C16" s="715" t="s">
        <v>3054</v>
      </c>
      <c r="D16" s="715" t="s">
        <v>3054</v>
      </c>
      <c r="E16" s="715" t="s">
        <v>3054</v>
      </c>
      <c r="F16" s="732" t="s">
        <v>3054</v>
      </c>
      <c r="G16" s="717"/>
      <c r="H16" s="717"/>
      <c r="I16" s="2960">
        <v>100</v>
      </c>
      <c r="J16" s="2965" t="s">
        <v>3139</v>
      </c>
    </row>
    <row r="17" spans="1:10" ht="24.75">
      <c r="A17" s="2272" t="s">
        <v>3040</v>
      </c>
      <c r="B17" s="2949" t="s">
        <v>3041</v>
      </c>
      <c r="C17" s="2957">
        <v>4.3499999999999997E-2</v>
      </c>
      <c r="D17" s="715" t="s">
        <v>3054</v>
      </c>
      <c r="E17" s="2276">
        <v>1</v>
      </c>
      <c r="F17" s="2952" t="s">
        <v>3102</v>
      </c>
      <c r="G17" s="717"/>
      <c r="H17" s="717"/>
      <c r="I17" s="2960">
        <f>ROUND((I9+I14)*E17*C17+I16*(E17/2)*C17,2)</f>
        <v>30.07</v>
      </c>
      <c r="J17" s="2950" t="s">
        <v>3140</v>
      </c>
    </row>
    <row r="18" spans="1:10">
      <c r="A18" s="2272" t="s">
        <v>3042</v>
      </c>
      <c r="B18" s="2949" t="s">
        <v>3043</v>
      </c>
      <c r="C18" s="2957">
        <v>0.15</v>
      </c>
      <c r="D18" s="715" t="s">
        <v>3054</v>
      </c>
      <c r="E18" s="715" t="s">
        <v>3054</v>
      </c>
      <c r="F18" s="732" t="s">
        <v>3054</v>
      </c>
      <c r="G18" s="717"/>
      <c r="H18" s="717"/>
      <c r="I18" s="2960">
        <f>ROUND((I9+I14+I16)*C18,2)</f>
        <v>111.18</v>
      </c>
      <c r="J18" s="2950" t="s">
        <v>3142</v>
      </c>
    </row>
    <row r="19" spans="1:10">
      <c r="A19" s="2272" t="s">
        <v>3044</v>
      </c>
      <c r="B19" s="2949" t="s">
        <v>3045</v>
      </c>
      <c r="C19" s="715" t="s">
        <v>3054</v>
      </c>
      <c r="D19" s="715" t="s">
        <v>3054</v>
      </c>
      <c r="E19" s="715" t="s">
        <v>3054</v>
      </c>
      <c r="F19" s="732" t="s">
        <v>3054</v>
      </c>
      <c r="G19" s="717"/>
      <c r="H19" s="717"/>
      <c r="I19" s="2960">
        <f>ROUND(I9+I14+I16+I17+I18,2)</f>
        <v>882.45</v>
      </c>
      <c r="J19" s="2950" t="s">
        <v>3143</v>
      </c>
    </row>
    <row r="20" spans="1:10" ht="36.75">
      <c r="A20" s="2272" t="s">
        <v>3046</v>
      </c>
      <c r="B20" s="2949" t="s">
        <v>3047</v>
      </c>
      <c r="C20" s="2957">
        <v>0.4</v>
      </c>
      <c r="D20" s="715" t="s">
        <v>3054</v>
      </c>
      <c r="E20" s="715" t="s">
        <v>3054</v>
      </c>
      <c r="F20" s="732" t="s">
        <v>3054</v>
      </c>
      <c r="G20" s="717"/>
      <c r="H20" s="717"/>
      <c r="I20" s="2960">
        <f>ROUND(I19*C20,2)</f>
        <v>352.98</v>
      </c>
      <c r="J20" s="2950" t="s">
        <v>3144</v>
      </c>
    </row>
    <row r="21" spans="1:10">
      <c r="A21" s="2272" t="s">
        <v>3048</v>
      </c>
      <c r="B21" s="2949" t="s">
        <v>3049</v>
      </c>
      <c r="C21" s="2975">
        <f>ROUND(0.9457*C25,4)</f>
        <v>0.88329999999999997</v>
      </c>
      <c r="D21" s="715" t="s">
        <v>3054</v>
      </c>
      <c r="E21" s="715" t="s">
        <v>3054</v>
      </c>
      <c r="F21" s="732" t="s">
        <v>3054</v>
      </c>
      <c r="G21" s="732"/>
      <c r="H21" s="732"/>
      <c r="I21" s="2962" t="s">
        <v>3054</v>
      </c>
      <c r="J21" s="2950" t="s">
        <v>3107</v>
      </c>
    </row>
    <row r="22" spans="1:10">
      <c r="A22" s="2272" t="s">
        <v>3050</v>
      </c>
      <c r="B22" s="2949" t="s">
        <v>3051</v>
      </c>
      <c r="C22" s="2976">
        <v>1.0049999999999999</v>
      </c>
      <c r="D22" s="715" t="s">
        <v>3054</v>
      </c>
      <c r="E22" s="715" t="s">
        <v>3054</v>
      </c>
      <c r="F22" s="715" t="s">
        <v>3054</v>
      </c>
      <c r="G22" s="715"/>
      <c r="H22" s="715"/>
      <c r="I22" s="2963" t="s">
        <v>3054</v>
      </c>
      <c r="J22" s="2950" t="s">
        <v>3145</v>
      </c>
    </row>
    <row r="23" spans="1:10">
      <c r="A23" s="2272" t="s">
        <v>3052</v>
      </c>
      <c r="B23" s="2949" t="s">
        <v>3053</v>
      </c>
      <c r="C23" s="715" t="s">
        <v>3054</v>
      </c>
      <c r="D23" s="715" t="s">
        <v>3054</v>
      </c>
      <c r="E23" s="715" t="s">
        <v>3054</v>
      </c>
      <c r="F23" s="715" t="s">
        <v>3054</v>
      </c>
      <c r="G23" s="717"/>
      <c r="H23" s="717"/>
      <c r="I23" s="2960">
        <f>ROUND((I19+I20)*C21*C22,0)</f>
        <v>1097</v>
      </c>
      <c r="J23" s="2950" t="s">
        <v>3146</v>
      </c>
    </row>
    <row r="25" spans="1:10">
      <c r="A25" s="2317"/>
      <c r="B25" s="2980" t="s">
        <v>3129</v>
      </c>
      <c r="C25" s="2317">
        <f>ROUND((1-1/(1+B26)^B29)/(1-1/(1+B26)^B30),3)</f>
        <v>0.93400000000000005</v>
      </c>
    </row>
    <row r="26" spans="1:10">
      <c r="A26" s="2981" t="s">
        <v>3153</v>
      </c>
      <c r="B26" s="2982">
        <v>0.06</v>
      </c>
      <c r="C26" s="2317"/>
    </row>
    <row r="27" spans="1:10">
      <c r="A27" s="2983" t="s">
        <v>3149</v>
      </c>
      <c r="B27" s="2984">
        <f>项目基本情况!D3</f>
        <v>45344</v>
      </c>
      <c r="C27" s="2317"/>
    </row>
    <row r="28" spans="1:10">
      <c r="A28" s="2983" t="s">
        <v>3150</v>
      </c>
      <c r="B28" s="2984">
        <v>58818</v>
      </c>
      <c r="C28" s="2317"/>
    </row>
    <row r="29" spans="1:10">
      <c r="A29" s="2983" t="s">
        <v>3152</v>
      </c>
      <c r="B29" s="2317">
        <f>ROUND((B28-B27)/365,2)</f>
        <v>36.92</v>
      </c>
      <c r="C29" s="2317"/>
    </row>
    <row r="30" spans="1:10">
      <c r="A30" s="2983" t="s">
        <v>3151</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EEDAA-11CA-418A-A9AD-8FD4AD596C5F}">
  <dimension ref="A1:J30"/>
  <sheetViews>
    <sheetView topLeftCell="A4" zoomScale="80" zoomScaleNormal="80" workbookViewId="0">
      <selection activeCell="J20" sqref="J20"/>
    </sheetView>
  </sheetViews>
  <sheetFormatPr defaultRowHeight="13.5"/>
  <cols>
    <col min="1" max="1" width="11.25" style="2987" customWidth="1"/>
    <col min="2" max="2" width="28" style="2987" customWidth="1"/>
    <col min="3" max="3" width="15.75" style="2987" bestFit="1" customWidth="1"/>
    <col min="4" max="4" width="10.75" style="2987" customWidth="1"/>
    <col min="5" max="5" width="9.25" style="2987" customWidth="1"/>
    <col min="6" max="6" width="9" style="2987"/>
    <col min="7" max="8" width="10.5" style="2987" customWidth="1"/>
    <col min="9" max="9" width="10.125" style="2987" customWidth="1"/>
    <col min="10" max="10" width="75" style="2987" customWidth="1"/>
    <col min="11" max="16384" width="9" style="2987"/>
  </cols>
  <sheetData>
    <row r="1" spans="1:10" ht="20.25">
      <c r="A1" s="2942" t="s">
        <v>3157</v>
      </c>
      <c r="B1" s="708"/>
      <c r="C1" s="2027"/>
      <c r="D1" s="2027"/>
      <c r="E1" s="2027"/>
      <c r="F1" s="2979" t="s">
        <v>2949</v>
      </c>
      <c r="G1" s="2971">
        <v>46670.48</v>
      </c>
      <c r="H1" s="1960"/>
      <c r="J1" s="2987">
        <f>46670.48+22771.17+39187.4+47637.14</f>
        <v>156266.19</v>
      </c>
    </row>
    <row r="2" spans="1:10" ht="15.75">
      <c r="A2" s="404" t="s">
        <v>3158</v>
      </c>
      <c r="B2" s="406">
        <f>ROUND(B4*G1,0)</f>
        <v>44756990</v>
      </c>
      <c r="C2" s="1960"/>
      <c r="D2" s="1960"/>
      <c r="E2" s="1960"/>
      <c r="F2" s="1960"/>
      <c r="G2" s="1960"/>
      <c r="H2" s="1960"/>
    </row>
    <row r="3" spans="1:10" ht="15.75">
      <c r="A3" s="1307" t="s">
        <v>3159</v>
      </c>
      <c r="B3" s="406"/>
      <c r="C3" s="1960"/>
      <c r="D3" s="1960"/>
      <c r="E3" s="1960"/>
      <c r="F3" s="1960"/>
      <c r="G3" s="1960"/>
      <c r="H3" s="1960"/>
    </row>
    <row r="4" spans="1:10" ht="27">
      <c r="A4" s="2988" t="s">
        <v>3160</v>
      </c>
      <c r="B4" s="2989">
        <f>I23</f>
        <v>959</v>
      </c>
      <c r="C4" s="2990"/>
      <c r="D4" s="1960"/>
      <c r="E4" s="1960"/>
      <c r="F4" s="1960"/>
      <c r="G4" s="1960"/>
      <c r="H4" s="1960"/>
    </row>
    <row r="5" spans="1:10" ht="15.75">
      <c r="A5" s="410"/>
      <c r="B5" s="2991">
        <f>ROUND(B2/(G1/666.67)/10000,2)</f>
        <v>63.93</v>
      </c>
      <c r="C5" s="2992" t="s">
        <v>3161</v>
      </c>
      <c r="D5" s="1960"/>
      <c r="E5" s="1960"/>
      <c r="F5" s="1960"/>
      <c r="G5" s="1960"/>
      <c r="H5" s="1960"/>
    </row>
    <row r="6" spans="1:10" ht="16.5" thickBot="1">
      <c r="A6" s="410"/>
      <c r="B6" s="2993"/>
      <c r="C6" s="2994"/>
      <c r="D6" s="1960"/>
      <c r="E6" s="1960"/>
      <c r="F6" s="1960"/>
      <c r="G6" s="1960"/>
      <c r="H6" s="1960"/>
    </row>
    <row r="7" spans="1:10">
      <c r="A7" s="3296" t="s">
        <v>2995</v>
      </c>
      <c r="B7" s="3298" t="s">
        <v>3162</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3163</v>
      </c>
      <c r="C9" s="715" t="s">
        <v>3054</v>
      </c>
      <c r="D9" s="715" t="s">
        <v>3054</v>
      </c>
      <c r="E9" s="716" t="s">
        <v>3054</v>
      </c>
      <c r="F9" s="716" t="s">
        <v>3054</v>
      </c>
      <c r="G9" s="2964"/>
      <c r="H9" s="2959"/>
      <c r="I9" s="2960">
        <f>I10+I12+I13</f>
        <v>602</v>
      </c>
      <c r="J9" s="2950" t="s">
        <v>3130</v>
      </c>
    </row>
    <row r="10" spans="1:10" ht="21" customHeight="1">
      <c r="A10" s="2272" t="s">
        <v>3164</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3165</v>
      </c>
      <c r="C14" s="715" t="s">
        <v>3054</v>
      </c>
      <c r="D14" s="715" t="s">
        <v>3054</v>
      </c>
      <c r="E14" s="715" t="s">
        <v>3054</v>
      </c>
      <c r="F14" s="732" t="s">
        <v>3054</v>
      </c>
      <c r="G14" s="717"/>
      <c r="H14" s="717"/>
      <c r="I14" s="2960">
        <v>39.200000000000003</v>
      </c>
      <c r="J14" s="2950" t="s">
        <v>3137</v>
      </c>
    </row>
    <row r="15" spans="1:10" ht="60">
      <c r="A15" s="2272" t="s">
        <v>3164</v>
      </c>
      <c r="B15" s="2948" t="s">
        <v>3034</v>
      </c>
      <c r="C15" s="2977">
        <v>39.200000000000003</v>
      </c>
      <c r="D15" s="715" t="s">
        <v>3076</v>
      </c>
      <c r="E15" s="2969"/>
      <c r="F15" s="2956" t="s">
        <v>3057</v>
      </c>
      <c r="G15" s="717"/>
      <c r="H15" s="717"/>
      <c r="I15" s="2960">
        <v>39.200000000000003</v>
      </c>
      <c r="J15" s="2965" t="s">
        <v>3138</v>
      </c>
    </row>
    <row r="16" spans="1:10">
      <c r="A16" s="2272" t="s">
        <v>3039</v>
      </c>
      <c r="B16" s="2949" t="s">
        <v>3166</v>
      </c>
      <c r="C16" s="2998" t="s">
        <v>3174</v>
      </c>
      <c r="D16" s="715" t="s">
        <v>3054</v>
      </c>
      <c r="E16" s="715" t="s">
        <v>3054</v>
      </c>
      <c r="F16" s="732" t="s">
        <v>3054</v>
      </c>
      <c r="G16" s="717"/>
      <c r="H16" s="717"/>
      <c r="I16" s="2960">
        <f>100+15</f>
        <v>115</v>
      </c>
      <c r="J16" s="2965" t="s">
        <v>3139</v>
      </c>
    </row>
    <row r="17" spans="1:10" ht="24.75">
      <c r="A17" s="2272" t="s">
        <v>3040</v>
      </c>
      <c r="B17" s="2949" t="s">
        <v>3167</v>
      </c>
      <c r="C17" s="2957">
        <v>4.3499999999999997E-2</v>
      </c>
      <c r="D17" s="715" t="s">
        <v>3054</v>
      </c>
      <c r="E17" s="2276">
        <v>1</v>
      </c>
      <c r="F17" s="2952" t="s">
        <v>3102</v>
      </c>
      <c r="G17" s="717"/>
      <c r="H17" s="717"/>
      <c r="I17" s="2960">
        <f>ROUND((I9+I14)*E17*C17+I16*((1+C17)^(E17/2)-1),2)</f>
        <v>30.37</v>
      </c>
      <c r="J17" s="2950" t="s">
        <v>3140</v>
      </c>
    </row>
    <row r="18" spans="1:10">
      <c r="A18" s="2272" t="s">
        <v>3042</v>
      </c>
      <c r="B18" s="2949" t="s">
        <v>3168</v>
      </c>
      <c r="C18" s="2957">
        <v>0.15</v>
      </c>
      <c r="D18" s="715" t="s">
        <v>3054</v>
      </c>
      <c r="E18" s="715" t="s">
        <v>3054</v>
      </c>
      <c r="F18" s="732" t="s">
        <v>3054</v>
      </c>
      <c r="G18" s="717"/>
      <c r="H18" s="717"/>
      <c r="I18" s="2960">
        <f>ROUND((I9+I14+I16)*C18,2)</f>
        <v>113.43</v>
      </c>
      <c r="J18" s="2950" t="s">
        <v>3142</v>
      </c>
    </row>
    <row r="19" spans="1:10">
      <c r="A19" s="2272" t="s">
        <v>3044</v>
      </c>
      <c r="B19" s="2949" t="s">
        <v>3169</v>
      </c>
      <c r="C19" s="715" t="s">
        <v>3054</v>
      </c>
      <c r="D19" s="715" t="s">
        <v>3054</v>
      </c>
      <c r="E19" s="715" t="s">
        <v>3054</v>
      </c>
      <c r="F19" s="732" t="s">
        <v>3054</v>
      </c>
      <c r="G19" s="717"/>
      <c r="H19" s="717"/>
      <c r="I19" s="2960">
        <f>ROUND(I9+I14+I16+I17+I18,2)</f>
        <v>900</v>
      </c>
      <c r="J19" s="2950" t="s">
        <v>3143</v>
      </c>
    </row>
    <row r="20" spans="1:10" ht="36.75">
      <c r="A20" s="2272" t="s">
        <v>3046</v>
      </c>
      <c r="B20" s="2949" t="s">
        <v>3170</v>
      </c>
      <c r="C20" s="2957">
        <v>0.4</v>
      </c>
      <c r="D20" s="715" t="s">
        <v>3054</v>
      </c>
      <c r="E20" s="715" t="s">
        <v>3054</v>
      </c>
      <c r="F20" s="732" t="s">
        <v>3054</v>
      </c>
      <c r="G20" s="717"/>
      <c r="H20" s="717"/>
      <c r="I20" s="2960">
        <f>ROUND(I19*C20,2)</f>
        <v>360</v>
      </c>
      <c r="J20" s="2950" t="s">
        <v>3144</v>
      </c>
    </row>
    <row r="21" spans="1:10">
      <c r="A21" s="2272" t="s">
        <v>3048</v>
      </c>
      <c r="B21" s="2949" t="s">
        <v>3171</v>
      </c>
      <c r="C21" s="2975">
        <f>ROUND(0.9457*C25,4)</f>
        <v>0.75390000000000001</v>
      </c>
      <c r="D21" s="715" t="s">
        <v>3054</v>
      </c>
      <c r="E21" s="715" t="s">
        <v>3054</v>
      </c>
      <c r="F21" s="732" t="s">
        <v>3054</v>
      </c>
      <c r="G21" s="732"/>
      <c r="H21" s="732"/>
      <c r="I21" s="2962" t="s">
        <v>3054</v>
      </c>
      <c r="J21" s="2950" t="s">
        <v>3107</v>
      </c>
    </row>
    <row r="22" spans="1:10">
      <c r="A22" s="2272" t="s">
        <v>3050</v>
      </c>
      <c r="B22" s="2949" t="s">
        <v>3172</v>
      </c>
      <c r="C22" s="2976">
        <v>1.01</v>
      </c>
      <c r="D22" s="715" t="s">
        <v>3054</v>
      </c>
      <c r="E22" s="715" t="s">
        <v>3054</v>
      </c>
      <c r="F22" s="715" t="s">
        <v>3054</v>
      </c>
      <c r="G22" s="715"/>
      <c r="H22" s="715"/>
      <c r="I22" s="2963" t="s">
        <v>3054</v>
      </c>
      <c r="J22" s="2950" t="s">
        <v>3145</v>
      </c>
    </row>
    <row r="23" spans="1:10">
      <c r="A23" s="2272" t="s">
        <v>3052</v>
      </c>
      <c r="B23" s="2949" t="s">
        <v>3173</v>
      </c>
      <c r="C23" s="715" t="s">
        <v>3054</v>
      </c>
      <c r="D23" s="715" t="s">
        <v>3054</v>
      </c>
      <c r="E23" s="715" t="s">
        <v>3054</v>
      </c>
      <c r="F23" s="715" t="s">
        <v>3054</v>
      </c>
      <c r="G23" s="717"/>
      <c r="H23" s="717"/>
      <c r="I23" s="2960">
        <f>ROUND((I19+I20)*C21*C22*C24,0)</f>
        <v>959</v>
      </c>
      <c r="J23" s="2950" t="s">
        <v>3146</v>
      </c>
    </row>
    <row r="24" spans="1:10">
      <c r="B24" s="2985" t="s">
        <v>3154</v>
      </c>
      <c r="C24" s="2986">
        <v>1</v>
      </c>
    </row>
    <row r="25" spans="1:10">
      <c r="A25" s="2995"/>
      <c r="B25" s="2980" t="s">
        <v>3129</v>
      </c>
      <c r="C25" s="2995">
        <f>ROUND((1-1/(1+B26)^B29)/(1-1/(1+B26)^B30),4)</f>
        <v>0.79720000000000002</v>
      </c>
    </row>
    <row r="26" spans="1:10">
      <c r="A26" s="2981" t="s">
        <v>3153</v>
      </c>
      <c r="B26" s="2996">
        <v>0.06</v>
      </c>
      <c r="C26" s="2995"/>
    </row>
    <row r="27" spans="1:10">
      <c r="A27" s="2995" t="s">
        <v>3149</v>
      </c>
      <c r="B27" s="2997">
        <v>45544</v>
      </c>
      <c r="C27" s="2995"/>
    </row>
    <row r="28" spans="1:10">
      <c r="A28" s="2995" t="s">
        <v>3150</v>
      </c>
      <c r="B28" s="2997">
        <v>54328</v>
      </c>
      <c r="C28" s="2995"/>
    </row>
    <row r="29" spans="1:10">
      <c r="A29" s="2995" t="s">
        <v>3152</v>
      </c>
      <c r="B29" s="2995">
        <f>ROUNDDOWN(MIN(B28-B27)/365,2)</f>
        <v>24.06</v>
      </c>
      <c r="C29" s="2995"/>
    </row>
    <row r="30" spans="1:10">
      <c r="A30" s="2995" t="s">
        <v>3151</v>
      </c>
      <c r="B30" s="2995">
        <v>50</v>
      </c>
      <c r="C30" s="299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F62A-5408-4341-A52B-5C48C9609A93}">
  <dimension ref="A1:J30"/>
  <sheetViews>
    <sheetView tabSelected="1" zoomScale="80" zoomScaleNormal="80" workbookViewId="0">
      <selection activeCell="B2" sqref="B2"/>
    </sheetView>
  </sheetViews>
  <sheetFormatPr defaultRowHeight="13.5"/>
  <cols>
    <col min="1" max="1" width="11.25" style="2987" customWidth="1"/>
    <col min="2" max="2" width="28" style="2987" customWidth="1"/>
    <col min="3" max="3" width="15.75" style="2987" bestFit="1" customWidth="1"/>
    <col min="4" max="4" width="10.75" style="2987" customWidth="1"/>
    <col min="5" max="5" width="9.25" style="2987" customWidth="1"/>
    <col min="6" max="6" width="9" style="2987"/>
    <col min="7" max="8" width="10.5" style="2987" customWidth="1"/>
    <col min="9" max="9" width="10.125" style="2987" customWidth="1"/>
    <col min="10" max="10" width="75" style="2987" customWidth="1"/>
    <col min="11" max="16384" width="9" style="2987"/>
  </cols>
  <sheetData>
    <row r="1" spans="1:10" ht="20.25">
      <c r="A1" s="2942" t="s">
        <v>3157</v>
      </c>
      <c r="B1" s="708"/>
      <c r="C1" s="2027"/>
      <c r="D1" s="2027"/>
      <c r="E1" s="2027"/>
      <c r="F1" s="2979" t="s">
        <v>2949</v>
      </c>
      <c r="G1" s="2971">
        <v>22771.17</v>
      </c>
      <c r="H1" s="1960"/>
    </row>
    <row r="2" spans="1:10" ht="15.75">
      <c r="A2" s="404" t="s">
        <v>3158</v>
      </c>
      <c r="B2" s="406">
        <f>ROUND(B4*G1,0)</f>
        <v>21837552</v>
      </c>
      <c r="C2" s="1960"/>
      <c r="D2" s="1960"/>
      <c r="E2" s="1960"/>
      <c r="F2" s="1960"/>
      <c r="G2" s="1960"/>
      <c r="H2" s="1960"/>
    </row>
    <row r="3" spans="1:10" ht="15.75">
      <c r="A3" s="1307" t="s">
        <v>3159</v>
      </c>
      <c r="B3" s="406"/>
      <c r="C3" s="1960"/>
      <c r="D3" s="1960"/>
      <c r="E3" s="1960"/>
      <c r="F3" s="1960"/>
      <c r="G3" s="1960"/>
      <c r="H3" s="1960"/>
    </row>
    <row r="4" spans="1:10" ht="27">
      <c r="A4" s="2988" t="s">
        <v>3160</v>
      </c>
      <c r="B4" s="2989">
        <f>I23</f>
        <v>959</v>
      </c>
      <c r="C4" s="2990"/>
      <c r="D4" s="1960"/>
      <c r="E4" s="1960"/>
      <c r="F4" s="1960"/>
      <c r="G4" s="1960"/>
      <c r="H4" s="1960"/>
    </row>
    <row r="5" spans="1:10" ht="15.75">
      <c r="A5" s="410"/>
      <c r="B5" s="2991">
        <f>ROUND(B2/(G1/666.67)/10000,2)</f>
        <v>63.93</v>
      </c>
      <c r="C5" s="2992" t="s">
        <v>3161</v>
      </c>
      <c r="D5" s="1960"/>
      <c r="E5" s="1960"/>
      <c r="F5" s="1960"/>
      <c r="G5" s="1960"/>
      <c r="H5" s="1960"/>
    </row>
    <row r="6" spans="1:10" ht="16.5" thickBot="1">
      <c r="A6" s="410"/>
      <c r="B6" s="2993"/>
      <c r="C6" s="2994"/>
      <c r="D6" s="1960"/>
      <c r="E6" s="1960"/>
      <c r="F6" s="1960"/>
      <c r="G6" s="1960"/>
      <c r="H6" s="1960"/>
    </row>
    <row r="7" spans="1:10">
      <c r="A7" s="3296" t="s">
        <v>2995</v>
      </c>
      <c r="B7" s="3298" t="s">
        <v>3162</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3163</v>
      </c>
      <c r="C9" s="715" t="s">
        <v>3054</v>
      </c>
      <c r="D9" s="715" t="s">
        <v>3054</v>
      </c>
      <c r="E9" s="716" t="s">
        <v>3054</v>
      </c>
      <c r="F9" s="716" t="s">
        <v>3054</v>
      </c>
      <c r="G9" s="2964"/>
      <c r="H9" s="2959"/>
      <c r="I9" s="2960">
        <f>I10+I12+I13</f>
        <v>602</v>
      </c>
      <c r="J9" s="2950" t="s">
        <v>3130</v>
      </c>
    </row>
    <row r="10" spans="1:10" ht="21" customHeight="1">
      <c r="A10" s="2272" t="s">
        <v>3164</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3165</v>
      </c>
      <c r="C14" s="715" t="s">
        <v>3054</v>
      </c>
      <c r="D14" s="715" t="s">
        <v>3054</v>
      </c>
      <c r="E14" s="715" t="s">
        <v>3054</v>
      </c>
      <c r="F14" s="732" t="s">
        <v>3054</v>
      </c>
      <c r="G14" s="717"/>
      <c r="H14" s="717"/>
      <c r="I14" s="2960">
        <v>39.200000000000003</v>
      </c>
      <c r="J14" s="2950" t="s">
        <v>3137</v>
      </c>
    </row>
    <row r="15" spans="1:10" ht="60">
      <c r="A15" s="2272" t="s">
        <v>3164</v>
      </c>
      <c r="B15" s="2948" t="s">
        <v>3034</v>
      </c>
      <c r="C15" s="2977">
        <v>39.200000000000003</v>
      </c>
      <c r="D15" s="715" t="s">
        <v>3076</v>
      </c>
      <c r="E15" s="2969"/>
      <c r="F15" s="2956" t="s">
        <v>3057</v>
      </c>
      <c r="G15" s="717"/>
      <c r="H15" s="717"/>
      <c r="I15" s="2960">
        <v>39.200000000000003</v>
      </c>
      <c r="J15" s="2965" t="s">
        <v>3138</v>
      </c>
    </row>
    <row r="16" spans="1:10">
      <c r="A16" s="2272" t="s">
        <v>3039</v>
      </c>
      <c r="B16" s="2949" t="s">
        <v>3166</v>
      </c>
      <c r="C16" s="2998" t="s">
        <v>3174</v>
      </c>
      <c r="D16" s="715" t="s">
        <v>3054</v>
      </c>
      <c r="E16" s="715" t="s">
        <v>3054</v>
      </c>
      <c r="F16" s="732" t="s">
        <v>3054</v>
      </c>
      <c r="G16" s="717"/>
      <c r="H16" s="717"/>
      <c r="I16" s="2960">
        <f>100+15</f>
        <v>115</v>
      </c>
      <c r="J16" s="2965" t="s">
        <v>3139</v>
      </c>
    </row>
    <row r="17" spans="1:10" ht="24.75">
      <c r="A17" s="2272" t="s">
        <v>3040</v>
      </c>
      <c r="B17" s="2949" t="s">
        <v>3167</v>
      </c>
      <c r="C17" s="2957">
        <v>4.3499999999999997E-2</v>
      </c>
      <c r="D17" s="715" t="s">
        <v>3054</v>
      </c>
      <c r="E17" s="2276">
        <v>1</v>
      </c>
      <c r="F17" s="2952" t="s">
        <v>3102</v>
      </c>
      <c r="G17" s="717"/>
      <c r="H17" s="717"/>
      <c r="I17" s="2960">
        <f>ROUND((I9+I14)*E17*C17+I16*((1+C17)^(E17/2)-1),2)</f>
        <v>30.37</v>
      </c>
      <c r="J17" s="2950" t="s">
        <v>3140</v>
      </c>
    </row>
    <row r="18" spans="1:10">
      <c r="A18" s="2272" t="s">
        <v>3042</v>
      </c>
      <c r="B18" s="2949" t="s">
        <v>3168</v>
      </c>
      <c r="C18" s="2957">
        <v>0.15</v>
      </c>
      <c r="D18" s="715" t="s">
        <v>3054</v>
      </c>
      <c r="E18" s="715" t="s">
        <v>3054</v>
      </c>
      <c r="F18" s="732" t="s">
        <v>3054</v>
      </c>
      <c r="G18" s="717"/>
      <c r="H18" s="717"/>
      <c r="I18" s="2960">
        <f>ROUND((I9+I14+I16)*C18,2)</f>
        <v>113.43</v>
      </c>
      <c r="J18" s="2950" t="s">
        <v>3142</v>
      </c>
    </row>
    <row r="19" spans="1:10">
      <c r="A19" s="2272" t="s">
        <v>3044</v>
      </c>
      <c r="B19" s="2949" t="s">
        <v>3169</v>
      </c>
      <c r="C19" s="715" t="s">
        <v>3054</v>
      </c>
      <c r="D19" s="715" t="s">
        <v>3054</v>
      </c>
      <c r="E19" s="715" t="s">
        <v>3054</v>
      </c>
      <c r="F19" s="732" t="s">
        <v>3054</v>
      </c>
      <c r="G19" s="717"/>
      <c r="H19" s="717"/>
      <c r="I19" s="2960">
        <f>ROUND(I9+I14+I16+I17+I18,2)</f>
        <v>900</v>
      </c>
      <c r="J19" s="2950" t="s">
        <v>3143</v>
      </c>
    </row>
    <row r="20" spans="1:10" ht="36.75">
      <c r="A20" s="2272" t="s">
        <v>3046</v>
      </c>
      <c r="B20" s="2949" t="s">
        <v>3170</v>
      </c>
      <c r="C20" s="2957">
        <v>0.4</v>
      </c>
      <c r="D20" s="715" t="s">
        <v>3054</v>
      </c>
      <c r="E20" s="715" t="s">
        <v>3054</v>
      </c>
      <c r="F20" s="732" t="s">
        <v>3054</v>
      </c>
      <c r="G20" s="717"/>
      <c r="H20" s="717"/>
      <c r="I20" s="2960">
        <f>ROUND(I19*C20,2)</f>
        <v>360</v>
      </c>
      <c r="J20" s="2950" t="s">
        <v>3144</v>
      </c>
    </row>
    <row r="21" spans="1:10">
      <c r="A21" s="2272" t="s">
        <v>3048</v>
      </c>
      <c r="B21" s="2949" t="s">
        <v>3171</v>
      </c>
      <c r="C21" s="2975">
        <f>ROUND(0.9457*C25,4)</f>
        <v>0.75390000000000001</v>
      </c>
      <c r="D21" s="715" t="s">
        <v>3054</v>
      </c>
      <c r="E21" s="715" t="s">
        <v>3054</v>
      </c>
      <c r="F21" s="732" t="s">
        <v>3054</v>
      </c>
      <c r="G21" s="732"/>
      <c r="H21" s="732"/>
      <c r="I21" s="2962" t="s">
        <v>3054</v>
      </c>
      <c r="J21" s="2950" t="s">
        <v>3107</v>
      </c>
    </row>
    <row r="22" spans="1:10">
      <c r="A22" s="2272" t="s">
        <v>3050</v>
      </c>
      <c r="B22" s="2949" t="s">
        <v>3172</v>
      </c>
      <c r="C22" s="2976">
        <v>1.01</v>
      </c>
      <c r="D22" s="715" t="s">
        <v>3054</v>
      </c>
      <c r="E22" s="715" t="s">
        <v>3054</v>
      </c>
      <c r="F22" s="715" t="s">
        <v>3054</v>
      </c>
      <c r="G22" s="715"/>
      <c r="H22" s="715"/>
      <c r="I22" s="2963" t="s">
        <v>3054</v>
      </c>
      <c r="J22" s="2950" t="s">
        <v>3145</v>
      </c>
    </row>
    <row r="23" spans="1:10">
      <c r="A23" s="2272" t="s">
        <v>3052</v>
      </c>
      <c r="B23" s="2949" t="s">
        <v>3173</v>
      </c>
      <c r="C23" s="715" t="s">
        <v>3054</v>
      </c>
      <c r="D23" s="715" t="s">
        <v>3054</v>
      </c>
      <c r="E23" s="715" t="s">
        <v>3054</v>
      </c>
      <c r="F23" s="715" t="s">
        <v>3054</v>
      </c>
      <c r="G23" s="717"/>
      <c r="H23" s="717"/>
      <c r="I23" s="2960">
        <f>ROUND((I19+I20)*C21*C22*C24,0)</f>
        <v>959</v>
      </c>
      <c r="J23" s="2950" t="s">
        <v>3146</v>
      </c>
    </row>
    <row r="24" spans="1:10">
      <c r="B24" s="2985" t="s">
        <v>3154</v>
      </c>
      <c r="C24" s="2986">
        <v>1</v>
      </c>
    </row>
    <row r="25" spans="1:10">
      <c r="A25" s="2995"/>
      <c r="B25" s="2980" t="s">
        <v>3129</v>
      </c>
      <c r="C25" s="2995">
        <f>ROUND((1-1/(1+B26)^B29)/(1-1/(1+B26)^B30),4)</f>
        <v>0.79720000000000002</v>
      </c>
    </row>
    <row r="26" spans="1:10">
      <c r="A26" s="2981" t="s">
        <v>3153</v>
      </c>
      <c r="B26" s="2996">
        <v>0.06</v>
      </c>
      <c r="C26" s="2995"/>
    </row>
    <row r="27" spans="1:10">
      <c r="A27" s="2995" t="s">
        <v>3149</v>
      </c>
      <c r="B27" s="2997">
        <v>45544</v>
      </c>
      <c r="C27" s="2995"/>
    </row>
    <row r="28" spans="1:10">
      <c r="A28" s="2995" t="s">
        <v>3150</v>
      </c>
      <c r="B28" s="2997">
        <v>54328</v>
      </c>
      <c r="C28" s="2995"/>
    </row>
    <row r="29" spans="1:10">
      <c r="A29" s="2995" t="s">
        <v>3152</v>
      </c>
      <c r="B29" s="2995">
        <f>ROUNDDOWN(MIN(B28-B27)/365,2)</f>
        <v>24.06</v>
      </c>
      <c r="C29" s="2995"/>
    </row>
    <row r="30" spans="1:10">
      <c r="A30" s="2995" t="s">
        <v>3151</v>
      </c>
      <c r="B30" s="2995">
        <v>50</v>
      </c>
      <c r="C30" s="299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B3C2-092E-4E51-B8CE-177E9D457C4B}">
  <dimension ref="A1:J30"/>
  <sheetViews>
    <sheetView topLeftCell="A13" zoomScale="80" zoomScaleNormal="80" workbookViewId="0">
      <selection activeCell="B2" sqref="B2"/>
    </sheetView>
  </sheetViews>
  <sheetFormatPr defaultRowHeight="13.5"/>
  <cols>
    <col min="1" max="1" width="11.25" style="2987" customWidth="1"/>
    <col min="2" max="2" width="28" style="2987" customWidth="1"/>
    <col min="3" max="3" width="15.75" style="2987" bestFit="1" customWidth="1"/>
    <col min="4" max="4" width="10.75" style="2987" customWidth="1"/>
    <col min="5" max="5" width="9.25" style="2987" customWidth="1"/>
    <col min="6" max="6" width="9" style="2987"/>
    <col min="7" max="8" width="10.5" style="2987" customWidth="1"/>
    <col min="9" max="9" width="10.125" style="2987" customWidth="1"/>
    <col min="10" max="10" width="75" style="2987" customWidth="1"/>
    <col min="11" max="16384" width="9" style="2987"/>
  </cols>
  <sheetData>
    <row r="1" spans="1:10" ht="20.25">
      <c r="A1" s="2942" t="s">
        <v>3157</v>
      </c>
      <c r="B1" s="708"/>
      <c r="C1" s="2027"/>
      <c r="D1" s="2027"/>
      <c r="E1" s="2027"/>
      <c r="F1" s="2979" t="s">
        <v>2949</v>
      </c>
      <c r="G1" s="2971">
        <v>39187.4</v>
      </c>
      <c r="H1" s="1960"/>
    </row>
    <row r="2" spans="1:10" ht="15.75">
      <c r="A2" s="404" t="s">
        <v>3158</v>
      </c>
      <c r="B2" s="406">
        <f>ROUND(B4*G1,0)</f>
        <v>37580717</v>
      </c>
      <c r="C2" s="1960"/>
      <c r="D2" s="1960"/>
      <c r="E2" s="1960"/>
      <c r="F2" s="1960"/>
      <c r="G2" s="1960"/>
      <c r="H2" s="1960"/>
    </row>
    <row r="3" spans="1:10" ht="15.75">
      <c r="A3" s="1307" t="s">
        <v>3159</v>
      </c>
      <c r="B3" s="406"/>
      <c r="C3" s="1960"/>
      <c r="D3" s="1960"/>
      <c r="E3" s="1960"/>
      <c r="F3" s="1960"/>
      <c r="G3" s="1960"/>
      <c r="H3" s="1960"/>
    </row>
    <row r="4" spans="1:10" ht="27">
      <c r="A4" s="2988" t="s">
        <v>3160</v>
      </c>
      <c r="B4" s="2989">
        <f>I23</f>
        <v>959</v>
      </c>
      <c r="C4" s="2990"/>
      <c r="D4" s="1960"/>
      <c r="E4" s="1960"/>
      <c r="F4" s="1960"/>
      <c r="G4" s="1960"/>
      <c r="H4" s="1960"/>
    </row>
    <row r="5" spans="1:10" ht="15.75">
      <c r="A5" s="410"/>
      <c r="B5" s="2991">
        <f>ROUND(B2/(G1/666.67)/10000,2)</f>
        <v>63.93</v>
      </c>
      <c r="C5" s="2992" t="s">
        <v>3161</v>
      </c>
      <c r="D5" s="1960"/>
      <c r="E5" s="1960"/>
      <c r="F5" s="1960"/>
      <c r="G5" s="1960"/>
      <c r="H5" s="1960"/>
    </row>
    <row r="6" spans="1:10" ht="16.5" thickBot="1">
      <c r="A6" s="410"/>
      <c r="B6" s="2993"/>
      <c r="C6" s="2994"/>
      <c r="D6" s="1960"/>
      <c r="E6" s="1960"/>
      <c r="F6" s="1960"/>
      <c r="G6" s="1960"/>
      <c r="H6" s="1960"/>
    </row>
    <row r="7" spans="1:10">
      <c r="A7" s="3296" t="s">
        <v>2995</v>
      </c>
      <c r="B7" s="3298" t="s">
        <v>3162</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3163</v>
      </c>
      <c r="C9" s="715" t="s">
        <v>3054</v>
      </c>
      <c r="D9" s="715" t="s">
        <v>3054</v>
      </c>
      <c r="E9" s="716" t="s">
        <v>3054</v>
      </c>
      <c r="F9" s="716" t="s">
        <v>3054</v>
      </c>
      <c r="G9" s="2964"/>
      <c r="H9" s="2959"/>
      <c r="I9" s="2960">
        <f>I10+I12+I13</f>
        <v>602</v>
      </c>
      <c r="J9" s="2950" t="s">
        <v>3130</v>
      </c>
    </row>
    <row r="10" spans="1:10" ht="21" customHeight="1">
      <c r="A10" s="2272" t="s">
        <v>3164</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3165</v>
      </c>
      <c r="C14" s="715" t="s">
        <v>3054</v>
      </c>
      <c r="D14" s="715" t="s">
        <v>3054</v>
      </c>
      <c r="E14" s="715" t="s">
        <v>3054</v>
      </c>
      <c r="F14" s="732" t="s">
        <v>3054</v>
      </c>
      <c r="G14" s="717"/>
      <c r="H14" s="717"/>
      <c r="I14" s="2960">
        <v>39.200000000000003</v>
      </c>
      <c r="J14" s="2950" t="s">
        <v>3137</v>
      </c>
    </row>
    <row r="15" spans="1:10" ht="60">
      <c r="A15" s="2272" t="s">
        <v>3164</v>
      </c>
      <c r="B15" s="2948" t="s">
        <v>3034</v>
      </c>
      <c r="C15" s="2977">
        <v>39.200000000000003</v>
      </c>
      <c r="D15" s="715" t="s">
        <v>3076</v>
      </c>
      <c r="E15" s="2969"/>
      <c r="F15" s="2956" t="s">
        <v>3057</v>
      </c>
      <c r="G15" s="717"/>
      <c r="H15" s="717"/>
      <c r="I15" s="2960">
        <v>39.200000000000003</v>
      </c>
      <c r="J15" s="2965" t="s">
        <v>3138</v>
      </c>
    </row>
    <row r="16" spans="1:10">
      <c r="A16" s="2272" t="s">
        <v>3039</v>
      </c>
      <c r="B16" s="2949" t="s">
        <v>3166</v>
      </c>
      <c r="C16" s="2998" t="s">
        <v>3174</v>
      </c>
      <c r="D16" s="715" t="s">
        <v>3054</v>
      </c>
      <c r="E16" s="715" t="s">
        <v>3054</v>
      </c>
      <c r="F16" s="732" t="s">
        <v>3054</v>
      </c>
      <c r="G16" s="717"/>
      <c r="H16" s="717"/>
      <c r="I16" s="2960">
        <f>100+15</f>
        <v>115</v>
      </c>
      <c r="J16" s="2965" t="s">
        <v>3139</v>
      </c>
    </row>
    <row r="17" spans="1:10" ht="24.75">
      <c r="A17" s="2272" t="s">
        <v>3040</v>
      </c>
      <c r="B17" s="2949" t="s">
        <v>3167</v>
      </c>
      <c r="C17" s="2957">
        <v>4.3499999999999997E-2</v>
      </c>
      <c r="D17" s="715" t="s">
        <v>3054</v>
      </c>
      <c r="E17" s="2276">
        <v>1</v>
      </c>
      <c r="F17" s="2952" t="s">
        <v>3102</v>
      </c>
      <c r="G17" s="717"/>
      <c r="H17" s="717"/>
      <c r="I17" s="2960">
        <f>ROUND((I9+I14)*E17*C17+I16*((1+C17)^(E17/2)-1),2)</f>
        <v>30.37</v>
      </c>
      <c r="J17" s="2950" t="s">
        <v>3140</v>
      </c>
    </row>
    <row r="18" spans="1:10">
      <c r="A18" s="2272" t="s">
        <v>3042</v>
      </c>
      <c r="B18" s="2949" t="s">
        <v>3168</v>
      </c>
      <c r="C18" s="2957">
        <v>0.15</v>
      </c>
      <c r="D18" s="715" t="s">
        <v>3054</v>
      </c>
      <c r="E18" s="715" t="s">
        <v>3054</v>
      </c>
      <c r="F18" s="732" t="s">
        <v>3054</v>
      </c>
      <c r="G18" s="717"/>
      <c r="H18" s="717"/>
      <c r="I18" s="2960">
        <f>ROUND((I9+I14+I16)*C18,2)</f>
        <v>113.43</v>
      </c>
      <c r="J18" s="2950" t="s">
        <v>3142</v>
      </c>
    </row>
    <row r="19" spans="1:10">
      <c r="A19" s="2272" t="s">
        <v>3044</v>
      </c>
      <c r="B19" s="2949" t="s">
        <v>3169</v>
      </c>
      <c r="C19" s="715" t="s">
        <v>3054</v>
      </c>
      <c r="D19" s="715" t="s">
        <v>3054</v>
      </c>
      <c r="E19" s="715" t="s">
        <v>3054</v>
      </c>
      <c r="F19" s="732" t="s">
        <v>3054</v>
      </c>
      <c r="G19" s="717"/>
      <c r="H19" s="717"/>
      <c r="I19" s="2960">
        <f>ROUND(I9+I14+I16+I17+I18,2)</f>
        <v>900</v>
      </c>
      <c r="J19" s="2950" t="s">
        <v>3143</v>
      </c>
    </row>
    <row r="20" spans="1:10" ht="36.75">
      <c r="A20" s="2272" t="s">
        <v>3046</v>
      </c>
      <c r="B20" s="2949" t="s">
        <v>3170</v>
      </c>
      <c r="C20" s="2957">
        <v>0.4</v>
      </c>
      <c r="D20" s="715" t="s">
        <v>3054</v>
      </c>
      <c r="E20" s="715" t="s">
        <v>3054</v>
      </c>
      <c r="F20" s="732" t="s">
        <v>3054</v>
      </c>
      <c r="G20" s="717"/>
      <c r="H20" s="717"/>
      <c r="I20" s="2960">
        <f>ROUND(I19*C20,2)</f>
        <v>360</v>
      </c>
      <c r="J20" s="2950" t="s">
        <v>3144</v>
      </c>
    </row>
    <row r="21" spans="1:10">
      <c r="A21" s="2272" t="s">
        <v>3048</v>
      </c>
      <c r="B21" s="2949" t="s">
        <v>3171</v>
      </c>
      <c r="C21" s="2975">
        <f>ROUND(0.9457*C25,4)</f>
        <v>0.75390000000000001</v>
      </c>
      <c r="D21" s="715" t="s">
        <v>3054</v>
      </c>
      <c r="E21" s="715" t="s">
        <v>3054</v>
      </c>
      <c r="F21" s="732" t="s">
        <v>3054</v>
      </c>
      <c r="G21" s="732"/>
      <c r="H21" s="732"/>
      <c r="I21" s="2962" t="s">
        <v>3054</v>
      </c>
      <c r="J21" s="2950" t="s">
        <v>3107</v>
      </c>
    </row>
    <row r="22" spans="1:10">
      <c r="A22" s="2272" t="s">
        <v>3050</v>
      </c>
      <c r="B22" s="2949" t="s">
        <v>3172</v>
      </c>
      <c r="C22" s="2976">
        <v>1.01</v>
      </c>
      <c r="D22" s="715" t="s">
        <v>3054</v>
      </c>
      <c r="E22" s="715" t="s">
        <v>3054</v>
      </c>
      <c r="F22" s="715" t="s">
        <v>3054</v>
      </c>
      <c r="G22" s="715"/>
      <c r="H22" s="715"/>
      <c r="I22" s="2963" t="s">
        <v>3054</v>
      </c>
      <c r="J22" s="2950" t="s">
        <v>3145</v>
      </c>
    </row>
    <row r="23" spans="1:10">
      <c r="A23" s="2272" t="s">
        <v>3052</v>
      </c>
      <c r="B23" s="2949" t="s">
        <v>3173</v>
      </c>
      <c r="C23" s="715" t="s">
        <v>3054</v>
      </c>
      <c r="D23" s="715" t="s">
        <v>3054</v>
      </c>
      <c r="E23" s="715" t="s">
        <v>3054</v>
      </c>
      <c r="F23" s="715" t="s">
        <v>3054</v>
      </c>
      <c r="G23" s="717"/>
      <c r="H23" s="717"/>
      <c r="I23" s="2960">
        <f>ROUND((I19+I20)*C21*C22*C24,0)</f>
        <v>959</v>
      </c>
      <c r="J23" s="2950" t="s">
        <v>3146</v>
      </c>
    </row>
    <row r="24" spans="1:10">
      <c r="B24" s="2985" t="s">
        <v>3154</v>
      </c>
      <c r="C24" s="2986">
        <v>1</v>
      </c>
    </row>
    <row r="25" spans="1:10">
      <c r="A25" s="2995"/>
      <c r="B25" s="2980" t="s">
        <v>3129</v>
      </c>
      <c r="C25" s="2995">
        <f>ROUND((1-1/(1+B26)^B29)/(1-1/(1+B26)^B30),4)</f>
        <v>0.79720000000000002</v>
      </c>
    </row>
    <row r="26" spans="1:10">
      <c r="A26" s="2981" t="s">
        <v>3153</v>
      </c>
      <c r="B26" s="2996">
        <v>0.06</v>
      </c>
      <c r="C26" s="2995"/>
    </row>
    <row r="27" spans="1:10">
      <c r="A27" s="2995" t="s">
        <v>3149</v>
      </c>
      <c r="B27" s="2997">
        <v>45544</v>
      </c>
      <c r="C27" s="2995"/>
    </row>
    <row r="28" spans="1:10">
      <c r="A28" s="2995" t="s">
        <v>3150</v>
      </c>
      <c r="B28" s="2997">
        <v>54328</v>
      </c>
      <c r="C28" s="2995"/>
    </row>
    <row r="29" spans="1:10">
      <c r="A29" s="2995" t="s">
        <v>3152</v>
      </c>
      <c r="B29" s="2995">
        <f>ROUNDDOWN(MIN(B28-B27)/365,2)</f>
        <v>24.06</v>
      </c>
      <c r="C29" s="2995"/>
    </row>
    <row r="30" spans="1:10">
      <c r="A30" s="2995" t="s">
        <v>3151</v>
      </c>
      <c r="B30" s="2995">
        <v>50</v>
      </c>
      <c r="C30" s="299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6AD4-1712-4C61-83B4-BA2FAEEB7F1B}">
  <dimension ref="A1:J30"/>
  <sheetViews>
    <sheetView topLeftCell="A16" zoomScale="80" zoomScaleNormal="80" workbookViewId="0">
      <selection activeCell="B2" sqref="B2"/>
    </sheetView>
  </sheetViews>
  <sheetFormatPr defaultRowHeight="13.5"/>
  <cols>
    <col min="1" max="1" width="11.25" style="2987" customWidth="1"/>
    <col min="2" max="2" width="28" style="2987" customWidth="1"/>
    <col min="3" max="3" width="15.75" style="2987" bestFit="1" customWidth="1"/>
    <col min="4" max="4" width="10.75" style="2987" customWidth="1"/>
    <col min="5" max="5" width="9.25" style="2987" customWidth="1"/>
    <col min="6" max="6" width="9" style="2987"/>
    <col min="7" max="8" width="10.5" style="2987" customWidth="1"/>
    <col min="9" max="9" width="10.125" style="2987" customWidth="1"/>
    <col min="10" max="10" width="75" style="2987" customWidth="1"/>
    <col min="11" max="16384" width="9" style="2987"/>
  </cols>
  <sheetData>
    <row r="1" spans="1:10" ht="20.25">
      <c r="A1" s="2942" t="s">
        <v>3157</v>
      </c>
      <c r="B1" s="708"/>
      <c r="C1" s="2027"/>
      <c r="D1" s="2027"/>
      <c r="E1" s="2027"/>
      <c r="F1" s="2979" t="s">
        <v>2949</v>
      </c>
      <c r="G1" s="2971">
        <v>47637.14</v>
      </c>
      <c r="H1" s="1960"/>
    </row>
    <row r="2" spans="1:10" ht="15.75">
      <c r="A2" s="404" t="s">
        <v>3158</v>
      </c>
      <c r="B2" s="406">
        <f>ROUND(B4*G1,0)</f>
        <v>45684017</v>
      </c>
      <c r="C2" s="1960"/>
      <c r="D2" s="1960"/>
      <c r="E2" s="1960"/>
      <c r="F2" s="1960"/>
      <c r="G2" s="1960"/>
      <c r="H2" s="1960"/>
    </row>
    <row r="3" spans="1:10" ht="15.75">
      <c r="A3" s="1307" t="s">
        <v>3159</v>
      </c>
      <c r="B3" s="406"/>
      <c r="C3" s="1960"/>
      <c r="D3" s="1960"/>
      <c r="E3" s="1960"/>
      <c r="F3" s="1960"/>
      <c r="G3" s="1960"/>
      <c r="H3" s="1960"/>
    </row>
    <row r="4" spans="1:10" ht="27">
      <c r="A4" s="2988" t="s">
        <v>3160</v>
      </c>
      <c r="B4" s="2989">
        <f>I23</f>
        <v>959</v>
      </c>
      <c r="C4" s="2990"/>
      <c r="D4" s="1960"/>
      <c r="E4" s="1960"/>
      <c r="F4" s="1960"/>
      <c r="G4" s="1960"/>
      <c r="H4" s="1960"/>
    </row>
    <row r="5" spans="1:10" ht="15.75">
      <c r="A5" s="410"/>
      <c r="B5" s="2991">
        <f>ROUND(B2/(G1/666.67)/10000,2)</f>
        <v>63.93</v>
      </c>
      <c r="C5" s="2992" t="s">
        <v>3161</v>
      </c>
      <c r="D5" s="1960"/>
      <c r="E5" s="1960"/>
      <c r="F5" s="1960"/>
      <c r="G5" s="1960"/>
      <c r="H5" s="1960"/>
    </row>
    <row r="6" spans="1:10" ht="16.5" thickBot="1">
      <c r="A6" s="410"/>
      <c r="B6" s="2993"/>
      <c r="C6" s="2994"/>
      <c r="D6" s="1960"/>
      <c r="E6" s="1960"/>
      <c r="F6" s="1960"/>
      <c r="G6" s="1960"/>
      <c r="H6" s="1960"/>
    </row>
    <row r="7" spans="1:10">
      <c r="A7" s="3296" t="s">
        <v>2995</v>
      </c>
      <c r="B7" s="3298" t="s">
        <v>3162</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3163</v>
      </c>
      <c r="C9" s="715" t="s">
        <v>3054</v>
      </c>
      <c r="D9" s="715" t="s">
        <v>3054</v>
      </c>
      <c r="E9" s="716" t="s">
        <v>3054</v>
      </c>
      <c r="F9" s="716" t="s">
        <v>3054</v>
      </c>
      <c r="G9" s="2964"/>
      <c r="H9" s="2959"/>
      <c r="I9" s="2960">
        <f>I10+I12+I13</f>
        <v>602</v>
      </c>
      <c r="J9" s="2950" t="s">
        <v>3130</v>
      </c>
    </row>
    <row r="10" spans="1:10" ht="21" customHeight="1">
      <c r="A10" s="2272" t="s">
        <v>3164</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3165</v>
      </c>
      <c r="C14" s="715" t="s">
        <v>3054</v>
      </c>
      <c r="D14" s="715" t="s">
        <v>3054</v>
      </c>
      <c r="E14" s="715" t="s">
        <v>3054</v>
      </c>
      <c r="F14" s="732" t="s">
        <v>3054</v>
      </c>
      <c r="G14" s="717"/>
      <c r="H14" s="717"/>
      <c r="I14" s="2960">
        <v>39.200000000000003</v>
      </c>
      <c r="J14" s="2950" t="s">
        <v>3137</v>
      </c>
    </row>
    <row r="15" spans="1:10" ht="60">
      <c r="A15" s="2272" t="s">
        <v>3164</v>
      </c>
      <c r="B15" s="2948" t="s">
        <v>3034</v>
      </c>
      <c r="C15" s="2977">
        <v>39.200000000000003</v>
      </c>
      <c r="D15" s="715" t="s">
        <v>3076</v>
      </c>
      <c r="E15" s="2969"/>
      <c r="F15" s="2956" t="s">
        <v>3057</v>
      </c>
      <c r="G15" s="717"/>
      <c r="H15" s="717"/>
      <c r="I15" s="2960">
        <v>39.200000000000003</v>
      </c>
      <c r="J15" s="2965" t="s">
        <v>3138</v>
      </c>
    </row>
    <row r="16" spans="1:10">
      <c r="A16" s="2272" t="s">
        <v>3039</v>
      </c>
      <c r="B16" s="2949" t="s">
        <v>3166</v>
      </c>
      <c r="C16" s="2998" t="s">
        <v>3174</v>
      </c>
      <c r="D16" s="715" t="s">
        <v>3054</v>
      </c>
      <c r="E16" s="715" t="s">
        <v>3054</v>
      </c>
      <c r="F16" s="732" t="s">
        <v>3054</v>
      </c>
      <c r="G16" s="717"/>
      <c r="H16" s="717"/>
      <c r="I16" s="2960">
        <f>100+15</f>
        <v>115</v>
      </c>
      <c r="J16" s="2965" t="s">
        <v>3139</v>
      </c>
    </row>
    <row r="17" spans="1:10" ht="24.75">
      <c r="A17" s="2272" t="s">
        <v>3040</v>
      </c>
      <c r="B17" s="2949" t="s">
        <v>3167</v>
      </c>
      <c r="C17" s="2957">
        <v>4.3499999999999997E-2</v>
      </c>
      <c r="D17" s="715" t="s">
        <v>3054</v>
      </c>
      <c r="E17" s="2276">
        <v>1</v>
      </c>
      <c r="F17" s="2952" t="s">
        <v>3102</v>
      </c>
      <c r="G17" s="717"/>
      <c r="H17" s="717"/>
      <c r="I17" s="2960">
        <f>ROUND((I9+I14)*E17*C17+I16*((1+C17)^(E17/2)-1),2)</f>
        <v>30.37</v>
      </c>
      <c r="J17" s="2950" t="s">
        <v>3140</v>
      </c>
    </row>
    <row r="18" spans="1:10">
      <c r="A18" s="2272" t="s">
        <v>3042</v>
      </c>
      <c r="B18" s="2949" t="s">
        <v>3168</v>
      </c>
      <c r="C18" s="2957">
        <v>0.15</v>
      </c>
      <c r="D18" s="715" t="s">
        <v>3054</v>
      </c>
      <c r="E18" s="715" t="s">
        <v>3054</v>
      </c>
      <c r="F18" s="732" t="s">
        <v>3054</v>
      </c>
      <c r="G18" s="717"/>
      <c r="H18" s="717"/>
      <c r="I18" s="2960">
        <f>ROUND((I9+I14+I16)*C18,2)</f>
        <v>113.43</v>
      </c>
      <c r="J18" s="2950" t="s">
        <v>3142</v>
      </c>
    </row>
    <row r="19" spans="1:10">
      <c r="A19" s="2272" t="s">
        <v>3044</v>
      </c>
      <c r="B19" s="2949" t="s">
        <v>3169</v>
      </c>
      <c r="C19" s="715" t="s">
        <v>3054</v>
      </c>
      <c r="D19" s="715" t="s">
        <v>3054</v>
      </c>
      <c r="E19" s="715" t="s">
        <v>3054</v>
      </c>
      <c r="F19" s="732" t="s">
        <v>3054</v>
      </c>
      <c r="G19" s="717"/>
      <c r="H19" s="717"/>
      <c r="I19" s="2960">
        <f>ROUND(I9+I14+I16+I17+I18,2)</f>
        <v>900</v>
      </c>
      <c r="J19" s="2950" t="s">
        <v>3143</v>
      </c>
    </row>
    <row r="20" spans="1:10" ht="36.75">
      <c r="A20" s="2272" t="s">
        <v>3046</v>
      </c>
      <c r="B20" s="2949" t="s">
        <v>3170</v>
      </c>
      <c r="C20" s="2957">
        <v>0.4</v>
      </c>
      <c r="D20" s="715" t="s">
        <v>3054</v>
      </c>
      <c r="E20" s="715" t="s">
        <v>3054</v>
      </c>
      <c r="F20" s="732" t="s">
        <v>3054</v>
      </c>
      <c r="G20" s="717"/>
      <c r="H20" s="717"/>
      <c r="I20" s="2960">
        <f>ROUND(I19*C20,2)</f>
        <v>360</v>
      </c>
      <c r="J20" s="2950" t="s">
        <v>3144</v>
      </c>
    </row>
    <row r="21" spans="1:10">
      <c r="A21" s="2272" t="s">
        <v>3048</v>
      </c>
      <c r="B21" s="2949" t="s">
        <v>3171</v>
      </c>
      <c r="C21" s="2975">
        <f>ROUND(0.9457*C25,4)</f>
        <v>0.75390000000000001</v>
      </c>
      <c r="D21" s="715" t="s">
        <v>3054</v>
      </c>
      <c r="E21" s="715" t="s">
        <v>3054</v>
      </c>
      <c r="F21" s="732" t="s">
        <v>3054</v>
      </c>
      <c r="G21" s="732"/>
      <c r="H21" s="732"/>
      <c r="I21" s="2962" t="s">
        <v>3054</v>
      </c>
      <c r="J21" s="2950" t="s">
        <v>3107</v>
      </c>
    </row>
    <row r="22" spans="1:10">
      <c r="A22" s="2272" t="s">
        <v>3050</v>
      </c>
      <c r="B22" s="2949" t="s">
        <v>3172</v>
      </c>
      <c r="C22" s="2976">
        <v>1.01</v>
      </c>
      <c r="D22" s="715" t="s">
        <v>3054</v>
      </c>
      <c r="E22" s="715" t="s">
        <v>3054</v>
      </c>
      <c r="F22" s="715" t="s">
        <v>3054</v>
      </c>
      <c r="G22" s="715"/>
      <c r="H22" s="715"/>
      <c r="I22" s="2963" t="s">
        <v>3054</v>
      </c>
      <c r="J22" s="2950" t="s">
        <v>3145</v>
      </c>
    </row>
    <row r="23" spans="1:10">
      <c r="A23" s="2272" t="s">
        <v>3052</v>
      </c>
      <c r="B23" s="2949" t="s">
        <v>3173</v>
      </c>
      <c r="C23" s="715" t="s">
        <v>3054</v>
      </c>
      <c r="D23" s="715" t="s">
        <v>3054</v>
      </c>
      <c r="E23" s="715" t="s">
        <v>3054</v>
      </c>
      <c r="F23" s="715" t="s">
        <v>3054</v>
      </c>
      <c r="G23" s="717"/>
      <c r="H23" s="717"/>
      <c r="I23" s="2960">
        <f>ROUND((I19+I20)*C21*C22*C24,0)</f>
        <v>959</v>
      </c>
      <c r="J23" s="2950" t="s">
        <v>3146</v>
      </c>
    </row>
    <row r="24" spans="1:10">
      <c r="B24" s="2985" t="s">
        <v>3154</v>
      </c>
      <c r="C24" s="2986">
        <v>1</v>
      </c>
    </row>
    <row r="25" spans="1:10">
      <c r="A25" s="2995"/>
      <c r="B25" s="2980" t="s">
        <v>3129</v>
      </c>
      <c r="C25" s="2995">
        <f>ROUND((1-1/(1+B26)^B29)/(1-1/(1+B26)^B30),4)</f>
        <v>0.79720000000000002</v>
      </c>
    </row>
    <row r="26" spans="1:10">
      <c r="A26" s="2981" t="s">
        <v>3153</v>
      </c>
      <c r="B26" s="2996">
        <v>0.06</v>
      </c>
      <c r="C26" s="2995"/>
    </row>
    <row r="27" spans="1:10">
      <c r="A27" s="2995" t="s">
        <v>3149</v>
      </c>
      <c r="B27" s="2997">
        <v>45544</v>
      </c>
      <c r="C27" s="2995"/>
    </row>
    <row r="28" spans="1:10">
      <c r="A28" s="2995" t="s">
        <v>3150</v>
      </c>
      <c r="B28" s="2997">
        <v>54328</v>
      </c>
      <c r="C28" s="2995"/>
    </row>
    <row r="29" spans="1:10">
      <c r="A29" s="2995" t="s">
        <v>3152</v>
      </c>
      <c r="B29" s="2995">
        <f>ROUNDDOWN(MIN(B28-B27)/365,2)</f>
        <v>24.06</v>
      </c>
      <c r="C29" s="2995"/>
    </row>
    <row r="30" spans="1:10">
      <c r="A30" s="2995" t="s">
        <v>3151</v>
      </c>
      <c r="B30" s="2995">
        <v>50</v>
      </c>
      <c r="C30" s="299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05" t="s">
        <v>2038</v>
      </c>
      <c r="B1" s="3005"/>
      <c r="C1" s="3005"/>
      <c r="D1" s="3005"/>
      <c r="E1" s="3005"/>
      <c r="F1" s="3005"/>
      <c r="G1" s="3005"/>
      <c r="H1" s="3005"/>
      <c r="I1" s="3005"/>
      <c r="J1" s="3005"/>
      <c r="K1" s="3005"/>
      <c r="L1" s="3005"/>
      <c r="M1" s="3005"/>
      <c r="N1" s="3005"/>
      <c r="O1" s="3005"/>
      <c r="P1" s="3005"/>
      <c r="Q1" s="3005"/>
      <c r="R1" s="3005"/>
    </row>
    <row r="2" spans="1:18">
      <c r="A2" s="1698" t="s">
        <v>2040</v>
      </c>
      <c r="B2" s="1698"/>
      <c r="C2" s="1698"/>
      <c r="D2" s="1698"/>
      <c r="E2" s="1698"/>
      <c r="F2" s="1698"/>
      <c r="G2" s="1698"/>
      <c r="H2" s="1698"/>
      <c r="I2" s="1699"/>
      <c r="J2" s="1699"/>
      <c r="K2" s="1700" t="str">
        <f>"估价期日："&amp;TEXT(项目基本情况!D3,"yyyy年m月d日;;")</f>
        <v>估价期日：2024年2月22日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06" t="s">
        <v>2029</v>
      </c>
      <c r="B3" s="3006" t="s">
        <v>2731</v>
      </c>
      <c r="C3" s="3007" t="s">
        <v>2030</v>
      </c>
      <c r="D3" s="3006" t="s">
        <v>2735</v>
      </c>
      <c r="E3" s="3001" t="s">
        <v>2031</v>
      </c>
      <c r="F3" s="3001"/>
      <c r="G3" s="3001"/>
      <c r="H3" s="3001" t="s">
        <v>2032</v>
      </c>
      <c r="I3" s="3001"/>
      <c r="J3" s="3001"/>
      <c r="K3" s="3007" t="s">
        <v>2033</v>
      </c>
      <c r="L3" s="3007" t="s">
        <v>2034</v>
      </c>
      <c r="M3" s="3006" t="s">
        <v>2732</v>
      </c>
      <c r="N3" s="3006" t="str">
        <f>"（分摊）"&amp;项目基本情况!B16&amp;"国有建设用地使用权面积/㎡"</f>
        <v>（分摊）出让国有建设用地使用权面积/㎡</v>
      </c>
      <c r="O3" s="3006" t="s">
        <v>2063</v>
      </c>
      <c r="P3" s="3007" t="s">
        <v>2043</v>
      </c>
      <c r="Q3" s="3007" t="s">
        <v>2064</v>
      </c>
      <c r="R3" s="3007" t="s">
        <v>2035</v>
      </c>
    </row>
    <row r="4" spans="1:18" ht="36.75" customHeight="1">
      <c r="A4" s="3006"/>
      <c r="B4" s="3006"/>
      <c r="C4" s="3007"/>
      <c r="D4" s="3006"/>
      <c r="E4" s="1701" t="s">
        <v>2042</v>
      </c>
      <c r="F4" s="1701" t="s">
        <v>2744</v>
      </c>
      <c r="G4" s="1701" t="s">
        <v>2036</v>
      </c>
      <c r="H4" s="1701" t="s">
        <v>2037</v>
      </c>
      <c r="I4" s="1701" t="s">
        <v>2745</v>
      </c>
      <c r="J4" s="1701" t="s">
        <v>2036</v>
      </c>
      <c r="K4" s="3007"/>
      <c r="L4" s="3007"/>
      <c r="M4" s="3006"/>
      <c r="N4" s="3006"/>
      <c r="O4" s="3006"/>
      <c r="P4" s="3007"/>
      <c r="Q4" s="3007"/>
      <c r="R4" s="3007"/>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3002" t="str">
        <f>IF(项目基本情况!B9="市场价格","——","抵押价格")</f>
        <v>抵押价格</v>
      </c>
      <c r="B6" s="3003"/>
      <c r="C6" s="3003"/>
      <c r="D6" s="3003"/>
      <c r="E6" s="3003"/>
      <c r="F6" s="3003"/>
      <c r="G6" s="3003"/>
      <c r="H6" s="3003"/>
      <c r="I6" s="3003"/>
      <c r="J6" s="3003"/>
      <c r="K6" s="3003"/>
      <c r="L6" s="3003"/>
      <c r="M6" s="3003"/>
      <c r="N6" s="3003"/>
      <c r="O6" s="3003"/>
      <c r="P6" s="3003"/>
      <c r="Q6" s="3004"/>
      <c r="R6" s="1703" t="str">
        <f>结果表!O39</f>
        <v>——</v>
      </c>
    </row>
    <row r="7" spans="1:18">
      <c r="A7" s="3002" t="str">
        <f>IF(项目基本情况!B9="市场价格","——",IF(项目基本情况!E8="已注销及未注销","抵押担保权已注销时的抵押价格","——"))</f>
        <v>——</v>
      </c>
      <c r="B7" s="3003"/>
      <c r="C7" s="3003"/>
      <c r="D7" s="3003"/>
      <c r="E7" s="3003"/>
      <c r="F7" s="3003"/>
      <c r="G7" s="3003"/>
      <c r="H7" s="3003"/>
      <c r="I7" s="3003"/>
      <c r="J7" s="3003"/>
      <c r="K7" s="3003"/>
      <c r="L7" s="3003"/>
      <c r="M7" s="3003"/>
      <c r="N7" s="3003"/>
      <c r="O7" s="3003"/>
      <c r="P7" s="3003"/>
      <c r="Q7" s="3004"/>
      <c r="R7" s="1703" t="str">
        <f>结果表!O40</f>
        <v>——</v>
      </c>
    </row>
    <row r="8" spans="1:18">
      <c r="A8" s="3002">
        <f>IF(项目基本情况!B9="市场价格","——",项目基本情况!E9)</f>
        <v>0</v>
      </c>
      <c r="B8" s="3003"/>
      <c r="C8" s="3003"/>
      <c r="D8" s="3003"/>
      <c r="E8" s="3003"/>
      <c r="F8" s="3003"/>
      <c r="G8" s="3003"/>
      <c r="H8" s="3003"/>
      <c r="I8" s="3003"/>
      <c r="J8" s="3003"/>
      <c r="K8" s="3003"/>
      <c r="L8" s="3003"/>
      <c r="M8" s="3003"/>
      <c r="N8" s="3003"/>
      <c r="O8" s="3003"/>
      <c r="P8" s="3003"/>
      <c r="Q8" s="3004"/>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979" t="s">
        <v>3148</v>
      </c>
      <c r="G1" s="2971">
        <f>6.8*666.67</f>
        <v>4533.3559999999998</v>
      </c>
      <c r="H1" s="1960"/>
    </row>
    <row r="2" spans="1:10" ht="15.75">
      <c r="A2" s="404" t="s">
        <v>467</v>
      </c>
      <c r="B2" s="406">
        <f>ROUND(B4*G1/10000,4)</f>
        <v>408.90870000000001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c r="H9" s="2959"/>
      <c r="I9" s="2960">
        <f>I10+I12+I13</f>
        <v>602</v>
      </c>
      <c r="J9" s="2950" t="s">
        <v>3130</v>
      </c>
    </row>
    <row r="10" spans="1:10" ht="21" customHeight="1">
      <c r="A10" s="2272" t="s">
        <v>2440</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3033</v>
      </c>
      <c r="C14" s="715" t="s">
        <v>3054</v>
      </c>
      <c r="D14" s="715" t="s">
        <v>3054</v>
      </c>
      <c r="E14" s="715" t="s">
        <v>3054</v>
      </c>
      <c r="F14" s="732" t="s">
        <v>3054</v>
      </c>
      <c r="G14" s="717"/>
      <c r="H14" s="717"/>
      <c r="I14" s="2960">
        <v>39.200000000000003</v>
      </c>
      <c r="J14" s="2950" t="s">
        <v>3137</v>
      </c>
    </row>
    <row r="15" spans="1:10" ht="60">
      <c r="A15" s="2272" t="s">
        <v>2440</v>
      </c>
      <c r="B15" s="2948" t="s">
        <v>3034</v>
      </c>
      <c r="C15" s="2977">
        <v>39.200000000000003</v>
      </c>
      <c r="D15" s="715" t="s">
        <v>3076</v>
      </c>
      <c r="E15" s="2969"/>
      <c r="F15" s="2956" t="s">
        <v>3057</v>
      </c>
      <c r="G15" s="717"/>
      <c r="H15" s="717"/>
      <c r="I15" s="2960">
        <v>39.200000000000003</v>
      </c>
      <c r="J15" s="2965" t="s">
        <v>3138</v>
      </c>
    </row>
    <row r="16" spans="1:10">
      <c r="A16" s="2272" t="s">
        <v>3039</v>
      </c>
      <c r="B16" s="2949" t="s">
        <v>3038</v>
      </c>
      <c r="C16" s="715" t="s">
        <v>3054</v>
      </c>
      <c r="D16" s="715" t="s">
        <v>3054</v>
      </c>
      <c r="E16" s="715" t="s">
        <v>3054</v>
      </c>
      <c r="F16" s="732" t="s">
        <v>3054</v>
      </c>
      <c r="G16" s="717"/>
      <c r="H16" s="717"/>
      <c r="I16" s="2960">
        <v>100</v>
      </c>
      <c r="J16" s="2965" t="s">
        <v>3139</v>
      </c>
    </row>
    <row r="17" spans="1:10" ht="24.75">
      <c r="A17" s="2272" t="s">
        <v>3040</v>
      </c>
      <c r="B17" s="2949" t="s">
        <v>3041</v>
      </c>
      <c r="C17" s="2957">
        <v>4.3499999999999997E-2</v>
      </c>
      <c r="D17" s="715" t="s">
        <v>3054</v>
      </c>
      <c r="E17" s="2276">
        <v>1</v>
      </c>
      <c r="F17" s="2952" t="s">
        <v>3102</v>
      </c>
      <c r="G17" s="717"/>
      <c r="H17" s="717"/>
      <c r="I17" s="2960">
        <f>ROUND((I9+I14)*E17*C17+I16*(E17/2)*C17,2)</f>
        <v>30.07</v>
      </c>
      <c r="J17" s="2950" t="s">
        <v>3140</v>
      </c>
    </row>
    <row r="18" spans="1:10">
      <c r="A18" s="2272" t="s">
        <v>3042</v>
      </c>
      <c r="B18" s="2949" t="s">
        <v>3043</v>
      </c>
      <c r="C18" s="2957">
        <v>0.15</v>
      </c>
      <c r="D18" s="715" t="s">
        <v>3054</v>
      </c>
      <c r="E18" s="715" t="s">
        <v>3054</v>
      </c>
      <c r="F18" s="732" t="s">
        <v>3054</v>
      </c>
      <c r="G18" s="717"/>
      <c r="H18" s="717"/>
      <c r="I18" s="2960">
        <f>ROUND((I9+I14+I16)*C18,2)</f>
        <v>111.18</v>
      </c>
      <c r="J18" s="2950" t="s">
        <v>3142</v>
      </c>
    </row>
    <row r="19" spans="1:10">
      <c r="A19" s="2272" t="s">
        <v>3044</v>
      </c>
      <c r="B19" s="2949" t="s">
        <v>3045</v>
      </c>
      <c r="C19" s="715" t="s">
        <v>3054</v>
      </c>
      <c r="D19" s="715" t="s">
        <v>3054</v>
      </c>
      <c r="E19" s="715" t="s">
        <v>3054</v>
      </c>
      <c r="F19" s="732" t="s">
        <v>3054</v>
      </c>
      <c r="G19" s="717"/>
      <c r="H19" s="717"/>
      <c r="I19" s="2960">
        <f>ROUND(I9+I14+I16+I17+I18,2)</f>
        <v>882.45</v>
      </c>
      <c r="J19" s="2950" t="s">
        <v>3143</v>
      </c>
    </row>
    <row r="20" spans="1:10" ht="36.75">
      <c r="A20" s="2272" t="s">
        <v>3046</v>
      </c>
      <c r="B20" s="2949" t="s">
        <v>3047</v>
      </c>
      <c r="C20" s="2957">
        <v>0.4</v>
      </c>
      <c r="D20" s="715" t="s">
        <v>3054</v>
      </c>
      <c r="E20" s="715" t="s">
        <v>3054</v>
      </c>
      <c r="F20" s="732" t="s">
        <v>3054</v>
      </c>
      <c r="G20" s="717"/>
      <c r="H20" s="717"/>
      <c r="I20" s="2960">
        <f>ROUND(I19*C20,2)</f>
        <v>352.98</v>
      </c>
      <c r="J20" s="2950" t="s">
        <v>3144</v>
      </c>
    </row>
    <row r="21" spans="1:10">
      <c r="A21" s="2272" t="s">
        <v>3048</v>
      </c>
      <c r="B21" s="2949" t="s">
        <v>3049</v>
      </c>
      <c r="C21" s="2975">
        <f>ROUND(0.9457*C25,4)</f>
        <v>0.72629999999999995</v>
      </c>
      <c r="D21" s="715" t="s">
        <v>3054</v>
      </c>
      <c r="E21" s="715" t="s">
        <v>3054</v>
      </c>
      <c r="F21" s="732" t="s">
        <v>3054</v>
      </c>
      <c r="G21" s="732"/>
      <c r="H21" s="732"/>
      <c r="I21" s="2962" t="s">
        <v>3054</v>
      </c>
      <c r="J21" s="2950" t="s">
        <v>3107</v>
      </c>
    </row>
    <row r="22" spans="1:10">
      <c r="A22" s="2272" t="s">
        <v>3050</v>
      </c>
      <c r="B22" s="2949" t="s">
        <v>3051</v>
      </c>
      <c r="C22" s="2976">
        <v>1.0049999999999999</v>
      </c>
      <c r="D22" s="715" t="s">
        <v>3054</v>
      </c>
      <c r="E22" s="715" t="s">
        <v>3054</v>
      </c>
      <c r="F22" s="715" t="s">
        <v>3054</v>
      </c>
      <c r="G22" s="715"/>
      <c r="H22" s="715"/>
      <c r="I22" s="2963" t="s">
        <v>3054</v>
      </c>
      <c r="J22" s="2950" t="s">
        <v>3145</v>
      </c>
    </row>
    <row r="23" spans="1:10">
      <c r="A23" s="2272" t="s">
        <v>3052</v>
      </c>
      <c r="B23" s="2949" t="s">
        <v>3053</v>
      </c>
      <c r="C23" s="715" t="s">
        <v>3054</v>
      </c>
      <c r="D23" s="715" t="s">
        <v>3054</v>
      </c>
      <c r="E23" s="715" t="s">
        <v>3054</v>
      </c>
      <c r="F23" s="715" t="s">
        <v>3054</v>
      </c>
      <c r="G23" s="717"/>
      <c r="H23" s="717"/>
      <c r="I23" s="2960">
        <f>ROUND((I19+I20)*C21*C22,0)</f>
        <v>902</v>
      </c>
      <c r="J23" s="2950" t="s">
        <v>3146</v>
      </c>
    </row>
    <row r="25" spans="1:10">
      <c r="A25" s="2317"/>
      <c r="B25" s="2980" t="s">
        <v>3129</v>
      </c>
      <c r="C25" s="2317">
        <f>ROUND((1-1/(1+B26)^B29)/(1-1/(1+B26)^B30),3)</f>
        <v>0.76800000000000002</v>
      </c>
    </row>
    <row r="26" spans="1:10">
      <c r="A26" s="2981" t="s">
        <v>3153</v>
      </c>
      <c r="B26" s="2982">
        <v>0.06</v>
      </c>
      <c r="C26" s="2317"/>
    </row>
    <row r="27" spans="1:10">
      <c r="A27" s="2983" t="s">
        <v>3149</v>
      </c>
      <c r="B27" s="2984">
        <f>项目基本情况!D3</f>
        <v>45344</v>
      </c>
      <c r="C27" s="2317"/>
    </row>
    <row r="28" spans="1:10">
      <c r="A28" s="2983" t="s">
        <v>3150</v>
      </c>
      <c r="B28" s="2984">
        <v>53454</v>
      </c>
      <c r="C28" s="2317"/>
    </row>
    <row r="29" spans="1:10">
      <c r="A29" s="2983" t="s">
        <v>3152</v>
      </c>
      <c r="B29" s="2317">
        <f>ROUND((B28-B27)/365,2)</f>
        <v>22.22</v>
      </c>
      <c r="C29" s="2317"/>
    </row>
    <row r="30" spans="1:10">
      <c r="A30" s="2983" t="s">
        <v>3151</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979" t="s">
        <v>3148</v>
      </c>
      <c r="G1" s="2971">
        <v>10485</v>
      </c>
      <c r="H1" s="1960"/>
    </row>
    <row r="2" spans="1:10" ht="15.75">
      <c r="A2" s="404" t="s">
        <v>467</v>
      </c>
      <c r="B2" s="406">
        <f>ROUND(B4*G1/10000,4)</f>
        <v>930.01949999999999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887</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c r="H9" s="2959"/>
      <c r="I9" s="2960">
        <f>I10+I12+I13</f>
        <v>602</v>
      </c>
      <c r="J9" s="2950" t="s">
        <v>3130</v>
      </c>
    </row>
    <row r="10" spans="1:10" ht="21" customHeight="1">
      <c r="A10" s="2272" t="s">
        <v>2440</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3033</v>
      </c>
      <c r="C14" s="715" t="s">
        <v>3054</v>
      </c>
      <c r="D14" s="715" t="s">
        <v>3054</v>
      </c>
      <c r="E14" s="715" t="s">
        <v>3054</v>
      </c>
      <c r="F14" s="732" t="s">
        <v>3054</v>
      </c>
      <c r="G14" s="717"/>
      <c r="H14" s="717"/>
      <c r="I14" s="2960">
        <v>39.200000000000003</v>
      </c>
      <c r="J14" s="2950" t="s">
        <v>3137</v>
      </c>
    </row>
    <row r="15" spans="1:10" ht="60">
      <c r="A15" s="2272" t="s">
        <v>2440</v>
      </c>
      <c r="B15" s="2948" t="s">
        <v>3034</v>
      </c>
      <c r="C15" s="2977">
        <v>39.200000000000003</v>
      </c>
      <c r="D15" s="715" t="s">
        <v>3076</v>
      </c>
      <c r="E15" s="2969"/>
      <c r="F15" s="2956" t="s">
        <v>3057</v>
      </c>
      <c r="G15" s="717"/>
      <c r="H15" s="717"/>
      <c r="I15" s="2960">
        <v>39.200000000000003</v>
      </c>
      <c r="J15" s="2965" t="s">
        <v>3138</v>
      </c>
    </row>
    <row r="16" spans="1:10">
      <c r="A16" s="2272" t="s">
        <v>3039</v>
      </c>
      <c r="B16" s="2949" t="s">
        <v>3038</v>
      </c>
      <c r="C16" s="715" t="s">
        <v>3054</v>
      </c>
      <c r="D16" s="715" t="s">
        <v>3054</v>
      </c>
      <c r="E16" s="715" t="s">
        <v>3054</v>
      </c>
      <c r="F16" s="732" t="s">
        <v>3054</v>
      </c>
      <c r="G16" s="717"/>
      <c r="H16" s="717"/>
      <c r="I16" s="2960">
        <v>100</v>
      </c>
      <c r="J16" s="2965" t="s">
        <v>3139</v>
      </c>
    </row>
    <row r="17" spans="1:10" ht="24.75">
      <c r="A17" s="2272" t="s">
        <v>3040</v>
      </c>
      <c r="B17" s="2949" t="s">
        <v>3041</v>
      </c>
      <c r="C17" s="2957">
        <v>4.3499999999999997E-2</v>
      </c>
      <c r="D17" s="715" t="s">
        <v>3054</v>
      </c>
      <c r="E17" s="2276">
        <v>1</v>
      </c>
      <c r="F17" s="2952" t="s">
        <v>3102</v>
      </c>
      <c r="G17" s="717"/>
      <c r="H17" s="717"/>
      <c r="I17" s="2960">
        <f>ROUND((I9+I14)*E17*C17+I16*(E17/2)*C17,2)</f>
        <v>30.07</v>
      </c>
      <c r="J17" s="2950" t="s">
        <v>3140</v>
      </c>
    </row>
    <row r="18" spans="1:10">
      <c r="A18" s="2272" t="s">
        <v>3042</v>
      </c>
      <c r="B18" s="2949" t="s">
        <v>3043</v>
      </c>
      <c r="C18" s="2957">
        <v>0.15</v>
      </c>
      <c r="D18" s="715" t="s">
        <v>3054</v>
      </c>
      <c r="E18" s="715" t="s">
        <v>3054</v>
      </c>
      <c r="F18" s="732" t="s">
        <v>3054</v>
      </c>
      <c r="G18" s="717"/>
      <c r="H18" s="717"/>
      <c r="I18" s="2960">
        <f>ROUND((I9+I14+I16)*C18,2)</f>
        <v>111.18</v>
      </c>
      <c r="J18" s="2950" t="s">
        <v>3142</v>
      </c>
    </row>
    <row r="19" spans="1:10">
      <c r="A19" s="2272" t="s">
        <v>3044</v>
      </c>
      <c r="B19" s="2949" t="s">
        <v>3045</v>
      </c>
      <c r="C19" s="715" t="s">
        <v>3054</v>
      </c>
      <c r="D19" s="715" t="s">
        <v>3054</v>
      </c>
      <c r="E19" s="715" t="s">
        <v>3054</v>
      </c>
      <c r="F19" s="732" t="s">
        <v>3054</v>
      </c>
      <c r="G19" s="717"/>
      <c r="H19" s="717"/>
      <c r="I19" s="2960">
        <f>ROUND(I9+I14+I16+I17+I18,2)</f>
        <v>882.45</v>
      </c>
      <c r="J19" s="2950" t="s">
        <v>3143</v>
      </c>
    </row>
    <row r="20" spans="1:10" ht="36.75">
      <c r="A20" s="2272" t="s">
        <v>3046</v>
      </c>
      <c r="B20" s="2949" t="s">
        <v>3047</v>
      </c>
      <c r="C20" s="2957">
        <v>0.4</v>
      </c>
      <c r="D20" s="715" t="s">
        <v>3054</v>
      </c>
      <c r="E20" s="715" t="s">
        <v>3054</v>
      </c>
      <c r="F20" s="732" t="s">
        <v>3054</v>
      </c>
      <c r="G20" s="717"/>
      <c r="H20" s="717"/>
      <c r="I20" s="2960">
        <f>ROUND(I19*C20,2)</f>
        <v>352.98</v>
      </c>
      <c r="J20" s="2950" t="s">
        <v>3144</v>
      </c>
    </row>
    <row r="21" spans="1:10">
      <c r="A21" s="2272" t="s">
        <v>3048</v>
      </c>
      <c r="B21" s="2949" t="s">
        <v>3049</v>
      </c>
      <c r="C21" s="2975">
        <f>ROUND(0.9457*C25,4)</f>
        <v>0.71399999999999997</v>
      </c>
      <c r="D21" s="715" t="s">
        <v>3054</v>
      </c>
      <c r="E21" s="715" t="s">
        <v>3054</v>
      </c>
      <c r="F21" s="732" t="s">
        <v>3054</v>
      </c>
      <c r="G21" s="732"/>
      <c r="H21" s="732"/>
      <c r="I21" s="2962" t="s">
        <v>3054</v>
      </c>
      <c r="J21" s="2950" t="s">
        <v>3107</v>
      </c>
    </row>
    <row r="22" spans="1:10">
      <c r="A22" s="2272" t="s">
        <v>3050</v>
      </c>
      <c r="B22" s="2949" t="s">
        <v>3051</v>
      </c>
      <c r="C22" s="2976">
        <v>1.0049999999999999</v>
      </c>
      <c r="D22" s="715" t="s">
        <v>3054</v>
      </c>
      <c r="E22" s="715" t="s">
        <v>3054</v>
      </c>
      <c r="F22" s="715" t="s">
        <v>3054</v>
      </c>
      <c r="G22" s="715"/>
      <c r="H22" s="715"/>
      <c r="I22" s="2963" t="s">
        <v>3054</v>
      </c>
      <c r="J22" s="2950" t="s">
        <v>3145</v>
      </c>
    </row>
    <row r="23" spans="1:10">
      <c r="A23" s="2272" t="s">
        <v>3052</v>
      </c>
      <c r="B23" s="2949" t="s">
        <v>3053</v>
      </c>
      <c r="C23" s="715" t="s">
        <v>3054</v>
      </c>
      <c r="D23" s="715" t="s">
        <v>3054</v>
      </c>
      <c r="E23" s="715" t="s">
        <v>3054</v>
      </c>
      <c r="F23" s="715" t="s">
        <v>3054</v>
      </c>
      <c r="G23" s="717"/>
      <c r="H23" s="717"/>
      <c r="I23" s="2960">
        <f>ROUND((I19+I20)*C21*C22,0)</f>
        <v>887</v>
      </c>
      <c r="J23" s="2950" t="s">
        <v>3146</v>
      </c>
    </row>
    <row r="25" spans="1:10">
      <c r="A25" s="2317"/>
      <c r="B25" s="2980" t="s">
        <v>3129</v>
      </c>
      <c r="C25" s="2317">
        <f>ROUND((1-1/(1+B26)^B29)/(1-1/(1+B26)^B30),3)</f>
        <v>0.755</v>
      </c>
    </row>
    <row r="26" spans="1:10">
      <c r="A26" s="2981" t="s">
        <v>3153</v>
      </c>
      <c r="B26" s="2982">
        <v>0.06</v>
      </c>
      <c r="C26" s="2317"/>
    </row>
    <row r="27" spans="1:10">
      <c r="A27" s="2983" t="s">
        <v>3149</v>
      </c>
      <c r="B27" s="2984">
        <f>项目基本情况!D3</f>
        <v>45344</v>
      </c>
      <c r="C27" s="2317"/>
    </row>
    <row r="28" spans="1:10">
      <c r="A28" s="2983" t="s">
        <v>3150</v>
      </c>
      <c r="B28" s="2984">
        <v>53194</v>
      </c>
      <c r="C28" s="2317"/>
    </row>
    <row r="29" spans="1:10">
      <c r="A29" s="2983" t="s">
        <v>3152</v>
      </c>
      <c r="B29" s="2317">
        <f>ROUND((B28-B27)/365,2)</f>
        <v>21.51</v>
      </c>
      <c r="C29" s="2317"/>
    </row>
    <row r="30" spans="1:10">
      <c r="A30" s="2983" t="s">
        <v>3151</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2994</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4"/>
      <c r="I7" s="3303"/>
      <c r="J7" s="3294" t="s">
        <v>3003</v>
      </c>
    </row>
    <row r="8" spans="1:10" ht="24">
      <c r="A8" s="3297"/>
      <c r="B8" s="3299"/>
      <c r="C8" s="2945" t="s">
        <v>2996</v>
      </c>
      <c r="D8" s="2945" t="s">
        <v>2997</v>
      </c>
      <c r="E8" s="2946" t="s">
        <v>2996</v>
      </c>
      <c r="F8" s="2946" t="s">
        <v>2997</v>
      </c>
      <c r="G8" s="2953" t="s">
        <v>3001</v>
      </c>
      <c r="H8" s="2953" t="s">
        <v>3112</v>
      </c>
      <c r="I8" s="2961" t="s">
        <v>3002</v>
      </c>
      <c r="J8" s="3295"/>
    </row>
    <row r="9" spans="1:10" ht="20.25" customHeight="1">
      <c r="A9" s="2272">
        <v>1</v>
      </c>
      <c r="B9" s="2949" t="s">
        <v>3032</v>
      </c>
      <c r="C9" s="715" t="s">
        <v>3054</v>
      </c>
      <c r="D9" s="715" t="s">
        <v>3054</v>
      </c>
      <c r="E9" s="716" t="s">
        <v>3054</v>
      </c>
      <c r="F9" s="716" t="s">
        <v>3054</v>
      </c>
      <c r="G9" s="2964" t="e">
        <f>G10+G13+G17+G25</f>
        <v>#DIV/0!</v>
      </c>
      <c r="H9" s="2959" t="e">
        <f>H10+H13+H17+H25</f>
        <v>#DIV/0!</v>
      </c>
      <c r="I9" s="2960">
        <f>I10+I13+I17+I25</f>
        <v>700.83</v>
      </c>
      <c r="J9" s="2947" t="s">
        <v>3004</v>
      </c>
    </row>
    <row r="10" spans="1:10" ht="19.5" customHeight="1">
      <c r="A10" s="2272" t="s">
        <v>2440</v>
      </c>
      <c r="B10" s="2948" t="s">
        <v>3005</v>
      </c>
      <c r="C10" s="715" t="s">
        <v>3054</v>
      </c>
      <c r="D10" s="715" t="s">
        <v>3054</v>
      </c>
      <c r="E10" s="716" t="s">
        <v>3054</v>
      </c>
      <c r="F10" s="716" t="s">
        <v>3054</v>
      </c>
      <c r="G10" s="717" t="e">
        <f>G11+G12</f>
        <v>#DIV/0!</v>
      </c>
      <c r="H10" s="717" t="e">
        <f>H11+H12</f>
        <v>#DIV/0!</v>
      </c>
      <c r="I10" s="2960">
        <f>I11+I12</f>
        <v>225</v>
      </c>
      <c r="J10" s="2950" t="s">
        <v>3055</v>
      </c>
    </row>
    <row r="11" spans="1:10" ht="42" customHeight="1">
      <c r="A11" s="2279" t="s">
        <v>3006</v>
      </c>
      <c r="B11" s="2948" t="s">
        <v>3008</v>
      </c>
      <c r="C11" s="2276">
        <v>12</v>
      </c>
      <c r="D11" s="715" t="s">
        <v>3056</v>
      </c>
      <c r="E11" s="2955" t="e">
        <f>ROUND('数据-汇总表'!D3/666.67,2)</f>
        <v>#DIV/0!</v>
      </c>
      <c r="F11" s="2951" t="s">
        <v>3057</v>
      </c>
      <c r="G11" s="717" t="e">
        <f>C11*E11</f>
        <v>#DIV/0!</v>
      </c>
      <c r="H11" s="717" t="e">
        <f>ROUND(G11/'数据-汇总表'!D3*10000,2)</f>
        <v>#DIV/0!</v>
      </c>
      <c r="I11" s="2960">
        <f>ROUND(C11*10000/666.67,0)</f>
        <v>180</v>
      </c>
      <c r="J11" s="2950" t="s">
        <v>3058</v>
      </c>
    </row>
    <row r="12" spans="1:10" ht="39.75" customHeight="1">
      <c r="A12" s="2279" t="s">
        <v>3007</v>
      </c>
      <c r="B12" s="2948" t="s">
        <v>3009</v>
      </c>
      <c r="C12" s="2276">
        <v>3</v>
      </c>
      <c r="D12" s="715" t="s">
        <v>3056</v>
      </c>
      <c r="E12" s="2955" t="e">
        <f>ROUND('数据-汇总表'!D3/666.67,2)</f>
        <v>#DIV/0!</v>
      </c>
      <c r="F12" s="2951" t="s">
        <v>3057</v>
      </c>
      <c r="G12" s="717" t="e">
        <f>C12*E12</f>
        <v>#DIV/0!</v>
      </c>
      <c r="H12" s="717" t="e">
        <f>ROUND(G12/'数据-汇总表'!D3*10000,2)</f>
        <v>#DIV/0!</v>
      </c>
      <c r="I12" s="2960">
        <f>ROUND(C12*10000/666.67,0)</f>
        <v>45</v>
      </c>
      <c r="J12" s="2950" t="s">
        <v>3059</v>
      </c>
    </row>
    <row r="13" spans="1:10" ht="19.5" customHeight="1">
      <c r="A13" s="2272" t="s">
        <v>2441</v>
      </c>
      <c r="B13" s="2948" t="s">
        <v>3010</v>
      </c>
      <c r="C13" s="715" t="s">
        <v>3054</v>
      </c>
      <c r="D13" s="715" t="s">
        <v>3054</v>
      </c>
      <c r="E13" s="715" t="s">
        <v>3054</v>
      </c>
      <c r="F13" s="716" t="s">
        <v>3054</v>
      </c>
      <c r="G13" s="717">
        <f>G14+G15+G16</f>
        <v>0</v>
      </c>
      <c r="H13" s="717" t="e">
        <f>H14+H15+H16</f>
        <v>#DIV/0!</v>
      </c>
      <c r="I13" s="2960">
        <f>I14+I15+I16</f>
        <v>3.63</v>
      </c>
      <c r="J13" s="2950" t="s">
        <v>3063</v>
      </c>
    </row>
    <row r="14" spans="1:10" ht="41.25" customHeight="1">
      <c r="A14" s="2279" t="s">
        <v>3060</v>
      </c>
      <c r="B14" s="2948" t="s">
        <v>3012</v>
      </c>
      <c r="C14" s="2276">
        <v>1500</v>
      </c>
      <c r="D14" s="715" t="s">
        <v>3064</v>
      </c>
      <c r="E14" s="2955">
        <v>0</v>
      </c>
      <c r="F14" s="2952" t="s">
        <v>3057</v>
      </c>
      <c r="G14" s="717">
        <f>C14*E14/10000</f>
        <v>0</v>
      </c>
      <c r="H14" s="717" t="e">
        <f>ROUND(G14*10000/'数据-汇总表'!D3,2)</f>
        <v>#DIV/0!</v>
      </c>
      <c r="I14" s="2960">
        <f>ROUND(C14/666.67*69.5%,2)</f>
        <v>1.56</v>
      </c>
      <c r="J14" s="2950" t="s">
        <v>3065</v>
      </c>
    </row>
    <row r="15" spans="1:10" ht="42.75" customHeight="1">
      <c r="A15" s="2279" t="s">
        <v>3061</v>
      </c>
      <c r="B15" s="2948" t="s">
        <v>3013</v>
      </c>
      <c r="C15" s="2276">
        <v>3000</v>
      </c>
      <c r="D15" s="715" t="s">
        <v>3066</v>
      </c>
      <c r="E15" s="2276">
        <v>0</v>
      </c>
      <c r="F15" s="2952" t="s">
        <v>3067</v>
      </c>
      <c r="G15" s="717">
        <f>C15*E15/10000</f>
        <v>0</v>
      </c>
      <c r="H15" s="717" t="e">
        <f>ROUND(G15*10000/'数据-汇总表'!D3,2)</f>
        <v>#DIV/0!</v>
      </c>
      <c r="I15" s="2960">
        <f>ROUND(3000/(2536623.77/515916*666.67),2)</f>
        <v>0.92</v>
      </c>
      <c r="J15" s="2950" t="s">
        <v>3068</v>
      </c>
    </row>
    <row r="16" spans="1:10" ht="41.25" customHeight="1">
      <c r="A16" s="2279" t="s">
        <v>3062</v>
      </c>
      <c r="B16" s="2948" t="s">
        <v>3014</v>
      </c>
      <c r="C16" s="2276">
        <v>1100</v>
      </c>
      <c r="D16" s="715" t="s">
        <v>3064</v>
      </c>
      <c r="E16" s="2955">
        <v>0</v>
      </c>
      <c r="F16" s="2952" t="s">
        <v>3070</v>
      </c>
      <c r="G16" s="717">
        <f>C16*E16/10000</f>
        <v>0</v>
      </c>
      <c r="H16" s="717" t="e">
        <f>ROUND(G16*10000/'数据-汇总表'!D3,2)</f>
        <v>#DIV/0!</v>
      </c>
      <c r="I16" s="2960">
        <f>ROUND(C16*69.5%/666.67,2)</f>
        <v>1.1499999999999999</v>
      </c>
      <c r="J16" s="2950" t="s">
        <v>3069</v>
      </c>
    </row>
    <row r="17" spans="1:10" ht="18.75" customHeight="1">
      <c r="A17" s="2279" t="s">
        <v>3015</v>
      </c>
      <c r="B17" s="2948" t="s">
        <v>3016</v>
      </c>
      <c r="C17" s="715" t="s">
        <v>3054</v>
      </c>
      <c r="D17" s="715" t="s">
        <v>3054</v>
      </c>
      <c r="E17" s="715" t="s">
        <v>3054</v>
      </c>
      <c r="F17" s="732" t="s">
        <v>3054</v>
      </c>
      <c r="G17" s="717">
        <f>G18+G19+G20+G21+G22+G23+G24</f>
        <v>100</v>
      </c>
      <c r="H17" s="717" t="e">
        <f>H18+H19+H20+H21+H22+H23+H24</f>
        <v>#DIV/0!</v>
      </c>
      <c r="I17" s="2960">
        <f>I18+I19+I20+I21+I22+I23+I24</f>
        <v>417.11999999999995</v>
      </c>
      <c r="J17" s="2950" t="s">
        <v>3075</v>
      </c>
    </row>
    <row r="18" spans="1:10" ht="37.5">
      <c r="A18" s="2279" t="s">
        <v>3017</v>
      </c>
      <c r="B18" s="2948" t="s">
        <v>3019</v>
      </c>
      <c r="C18" s="2276">
        <v>2000</v>
      </c>
      <c r="D18" s="715" t="s">
        <v>3076</v>
      </c>
      <c r="E18" s="2276">
        <f>'数据-汇总表'!E3</f>
        <v>0</v>
      </c>
      <c r="F18" s="2952" t="s">
        <v>3077</v>
      </c>
      <c r="G18" s="717">
        <f>C18*E18/10000</f>
        <v>0</v>
      </c>
      <c r="H18" s="717" t="e">
        <f>ROUND(G18*10000/'数据-汇总表'!D3,2)</f>
        <v>#DIV/0!</v>
      </c>
      <c r="I18" s="2960">
        <f>ROUND(C18*83289528.5/(2536623.77*666.67),2)</f>
        <v>98.5</v>
      </c>
      <c r="J18" s="2950" t="s">
        <v>3078</v>
      </c>
    </row>
    <row r="19" spans="1:10" ht="30" customHeight="1">
      <c r="A19" s="2279" t="s">
        <v>3018</v>
      </c>
      <c r="B19" s="2948" t="s">
        <v>3020</v>
      </c>
      <c r="C19" s="2276">
        <v>5</v>
      </c>
      <c r="D19" s="715" t="s">
        <v>3079</v>
      </c>
      <c r="E19" s="2276">
        <v>4</v>
      </c>
      <c r="F19" s="2952" t="s">
        <v>3080</v>
      </c>
      <c r="G19" s="717">
        <f>C19*E19</f>
        <v>20</v>
      </c>
      <c r="H19" s="717" t="e">
        <f>ROUND(G19*10000/'数据-汇总表'!D3,2)</f>
        <v>#DIV/0!</v>
      </c>
      <c r="I19" s="2960">
        <f>ROUND(C19*10000*403843/(2536623.77*666.67),2)</f>
        <v>11.94</v>
      </c>
      <c r="J19" s="2950" t="s">
        <v>3081</v>
      </c>
    </row>
    <row r="20" spans="1:10" ht="30" customHeight="1">
      <c r="A20" s="2279" t="s">
        <v>3011</v>
      </c>
      <c r="B20" s="2948" t="s">
        <v>3021</v>
      </c>
      <c r="C20" s="2276">
        <v>20</v>
      </c>
      <c r="D20" s="715" t="s">
        <v>3079</v>
      </c>
      <c r="E20" s="2276">
        <v>4</v>
      </c>
      <c r="F20" s="2952" t="s">
        <v>3080</v>
      </c>
      <c r="G20" s="717">
        <f>C20*E20</f>
        <v>80</v>
      </c>
      <c r="H20" s="717" t="e">
        <f>ROUND(G20*10000/'数据-汇总表'!D3,2)</f>
        <v>#DIV/0!</v>
      </c>
      <c r="I20" s="2960">
        <f>ROUND(C20*10000*403843/(2536623.77*666.67),2)</f>
        <v>47.76</v>
      </c>
      <c r="J20" s="2950" t="s">
        <v>3082</v>
      </c>
    </row>
    <row r="21" spans="1:10" ht="49.5">
      <c r="A21" s="2279" t="s">
        <v>3071</v>
      </c>
      <c r="B21" s="2948" t="s">
        <v>3022</v>
      </c>
      <c r="C21" s="2276">
        <v>400</v>
      </c>
      <c r="D21" s="715" t="s">
        <v>3083</v>
      </c>
      <c r="E21" s="2276">
        <v>0</v>
      </c>
      <c r="F21" s="2952" t="s">
        <v>3077</v>
      </c>
      <c r="G21" s="717">
        <f>C21*E21/10000</f>
        <v>0</v>
      </c>
      <c r="H21" s="717" t="e">
        <f>ROUND(G21*10000/'数据-汇总表'!D3,2)</f>
        <v>#DIV/0!</v>
      </c>
      <c r="I21" s="2960">
        <f>ROUND(C21*9211198.07/(2536623.77*666.67),2)</f>
        <v>2.1800000000000002</v>
      </c>
      <c r="J21" s="2950" t="s">
        <v>3084</v>
      </c>
    </row>
    <row r="22" spans="1:10" ht="67.5" customHeight="1">
      <c r="A22" s="2279" t="s">
        <v>3072</v>
      </c>
      <c r="B22" s="2948" t="s">
        <v>3023</v>
      </c>
      <c r="C22" s="2276">
        <v>35</v>
      </c>
      <c r="D22" s="715" t="s">
        <v>3085</v>
      </c>
      <c r="E22" s="2276"/>
      <c r="F22" s="2952" t="s">
        <v>3086</v>
      </c>
      <c r="G22" s="717">
        <f>C22*E22/10000</f>
        <v>0</v>
      </c>
      <c r="H22" s="717" t="e">
        <f>ROUND(G22*10000/'数据-汇总表'!D3,2)</f>
        <v>#DIV/0!</v>
      </c>
      <c r="I22" s="2960">
        <f>ROUND(C22*10000*1150000/(2536623.77*666.67),2)</f>
        <v>238.01</v>
      </c>
      <c r="J22" s="2950" t="s">
        <v>3087</v>
      </c>
    </row>
    <row r="23" spans="1:10" ht="37.5">
      <c r="A23" s="2279" t="s">
        <v>3073</v>
      </c>
      <c r="B23" s="2948" t="s">
        <v>3024</v>
      </c>
      <c r="C23" s="2276">
        <v>2000</v>
      </c>
      <c r="D23" s="715" t="s">
        <v>3083</v>
      </c>
      <c r="E23" s="2276">
        <f>'数据-汇总表'!E3</f>
        <v>0</v>
      </c>
      <c r="F23" s="2952" t="s">
        <v>3088</v>
      </c>
      <c r="G23" s="717">
        <f>C23*E23/10000</f>
        <v>0</v>
      </c>
      <c r="H23" s="717" t="e">
        <f>ROUND(G23*10000/'数据-汇总表'!D3,2)</f>
        <v>#DIV/0!</v>
      </c>
      <c r="I23" s="2960">
        <f>ROUND(C23*2988085.53/(2536623.77*666.67),2)</f>
        <v>3.53</v>
      </c>
      <c r="J23" s="2950" t="s">
        <v>3089</v>
      </c>
    </row>
    <row r="24" spans="1:10" ht="42" customHeight="1">
      <c r="A24" s="2279" t="s">
        <v>3074</v>
      </c>
      <c r="B24" s="2948" t="s">
        <v>3025</v>
      </c>
      <c r="C24" s="2276">
        <v>2300</v>
      </c>
      <c r="D24" s="715" t="s">
        <v>3083</v>
      </c>
      <c r="E24" s="2276">
        <f>'数据-汇总表'!E3</f>
        <v>0</v>
      </c>
      <c r="F24" s="2952" t="s">
        <v>3088</v>
      </c>
      <c r="G24" s="717">
        <f>C24*E24/10000</f>
        <v>0</v>
      </c>
      <c r="H24" s="717" t="e">
        <f>ROUND(G24*10000/'数据-汇总表'!D3,2)</f>
        <v>#DIV/0!</v>
      </c>
      <c r="I24" s="2960">
        <f>ROUND(C24*11173027.83/(2536623.77*666.67),2)</f>
        <v>15.2</v>
      </c>
      <c r="J24" s="2950" t="s">
        <v>3090</v>
      </c>
    </row>
    <row r="25" spans="1:10">
      <c r="A25" s="2279" t="s">
        <v>3026</v>
      </c>
      <c r="B25" s="2948" t="s">
        <v>3027</v>
      </c>
      <c r="C25" s="715" t="s">
        <v>3054</v>
      </c>
      <c r="D25" s="715" t="s">
        <v>3054</v>
      </c>
      <c r="E25" s="715" t="s">
        <v>3054</v>
      </c>
      <c r="F25" s="732" t="s">
        <v>3054</v>
      </c>
      <c r="G25" s="717">
        <f>G26+G27+G28</f>
        <v>0</v>
      </c>
      <c r="H25" s="717" t="e">
        <f>H26+H27+H28</f>
        <v>#DIV/0!</v>
      </c>
      <c r="I25" s="2960">
        <f>I26+I27+I28</f>
        <v>55.080000000000005</v>
      </c>
      <c r="J25" s="2950" t="s">
        <v>3091</v>
      </c>
    </row>
    <row r="26" spans="1:10" ht="62.25">
      <c r="A26" s="2279" t="s">
        <v>3017</v>
      </c>
      <c r="B26" s="2948" t="s">
        <v>3028</v>
      </c>
      <c r="C26" s="2955">
        <v>4.8</v>
      </c>
      <c r="D26" s="715" t="s">
        <v>3085</v>
      </c>
      <c r="E26" s="2276"/>
      <c r="F26" s="2952" t="s">
        <v>3086</v>
      </c>
      <c r="G26" s="717">
        <f>C26*E26/10000</f>
        <v>0</v>
      </c>
      <c r="H26" s="717" t="e">
        <f>ROUND(G26*10000/'数据-汇总表'!D3,2)</f>
        <v>#DIV/0!</v>
      </c>
      <c r="I26" s="2960">
        <f>ROUND(C26*10000*1150000/(2536623.77*666.67),2)</f>
        <v>32.64</v>
      </c>
      <c r="J26" s="2950" t="s">
        <v>3092</v>
      </c>
    </row>
    <row r="27" spans="1:10" ht="50.25">
      <c r="A27" s="2279" t="s">
        <v>3018</v>
      </c>
      <c r="B27" s="2948" t="s">
        <v>3029</v>
      </c>
      <c r="C27" s="2955">
        <v>1.6</v>
      </c>
      <c r="D27" s="715" t="s">
        <v>3085</v>
      </c>
      <c r="E27" s="2276"/>
      <c r="F27" s="2952" t="s">
        <v>3086</v>
      </c>
      <c r="G27" s="717">
        <f>C27*E27/10000</f>
        <v>0</v>
      </c>
      <c r="H27" s="717" t="e">
        <f>ROUND(G27*10000/'数据-汇总表'!D3,2)</f>
        <v>#DIV/0!</v>
      </c>
      <c r="I27" s="2960">
        <f>ROUND(C27*10000*1150000/(2536623.77*666.67),2)</f>
        <v>10.88</v>
      </c>
      <c r="J27" s="2950" t="s">
        <v>3093</v>
      </c>
    </row>
    <row r="28" spans="1:10" ht="66.75" customHeight="1">
      <c r="A28" s="2279" t="s">
        <v>3011</v>
      </c>
      <c r="B28" s="2948" t="s">
        <v>3030</v>
      </c>
      <c r="C28" s="2955">
        <v>1.7</v>
      </c>
      <c r="D28" s="715" t="s">
        <v>3085</v>
      </c>
      <c r="E28" s="2276"/>
      <c r="F28" s="2952" t="s">
        <v>3086</v>
      </c>
      <c r="G28" s="717">
        <f>C28*E28/10000</f>
        <v>0</v>
      </c>
      <c r="H28" s="717" t="e">
        <f>ROUND(G28*10000/'数据-汇总表'!D3,2)</f>
        <v>#DIV/0!</v>
      </c>
      <c r="I28" s="2960">
        <f>ROUND(C28*10000*1150000/(2536623.77*666.67),2)</f>
        <v>11.56</v>
      </c>
      <c r="J28" s="2950" t="s">
        <v>3094</v>
      </c>
    </row>
    <row r="29" spans="1:10" ht="20.25" customHeight="1">
      <c r="A29" s="2272" t="s">
        <v>3031</v>
      </c>
      <c r="B29" s="2949" t="s">
        <v>3033</v>
      </c>
      <c r="C29" s="715" t="s">
        <v>3054</v>
      </c>
      <c r="D29" s="715" t="s">
        <v>3054</v>
      </c>
      <c r="E29" s="715" t="s">
        <v>3054</v>
      </c>
      <c r="F29" s="732" t="s">
        <v>3054</v>
      </c>
      <c r="G29" s="717"/>
      <c r="H29" s="717"/>
      <c r="I29" s="2960">
        <f>I30+I31+I32+I33</f>
        <v>153.75</v>
      </c>
      <c r="J29" s="2950" t="s">
        <v>3095</v>
      </c>
    </row>
    <row r="30" spans="1:10" ht="38.25">
      <c r="A30" s="2272" t="s">
        <v>2440</v>
      </c>
      <c r="B30" s="2948" t="s">
        <v>3034</v>
      </c>
      <c r="C30" s="2276">
        <v>25</v>
      </c>
      <c r="D30" s="715" t="s">
        <v>3083</v>
      </c>
      <c r="E30" s="2276">
        <v>0</v>
      </c>
      <c r="F30" s="2956" t="s">
        <v>3057</v>
      </c>
      <c r="G30" s="717">
        <f>C30*E30/10000</f>
        <v>0</v>
      </c>
      <c r="H30" s="717" t="e">
        <f>ROUND(G30*10000/'数据-汇总表'!D3,2)</f>
        <v>#DIV/0!</v>
      </c>
      <c r="I30" s="2960">
        <f>ROUNDUP(C30*1762953.52/2536623.77,2)</f>
        <v>17.380000000000003</v>
      </c>
      <c r="J30" s="2950" t="s">
        <v>3096</v>
      </c>
    </row>
    <row r="31" spans="1:10" ht="51">
      <c r="A31" s="2272" t="s">
        <v>2441</v>
      </c>
      <c r="B31" s="2948" t="s">
        <v>3035</v>
      </c>
      <c r="C31" s="2276">
        <v>20</v>
      </c>
      <c r="D31" s="715" t="s">
        <v>3083</v>
      </c>
      <c r="E31" s="2276">
        <v>0</v>
      </c>
      <c r="F31" s="2956" t="s">
        <v>3057</v>
      </c>
      <c r="G31" s="717">
        <f>C31*E31/10000</f>
        <v>0</v>
      </c>
      <c r="H31" s="717" t="e">
        <f>ROUND(G31*10000/'数据-汇总表'!D3,2)</f>
        <v>#DIV/0!</v>
      </c>
      <c r="I31" s="2960">
        <f>ROUND(C31*61132.63/2536623.77,2)</f>
        <v>0.48</v>
      </c>
      <c r="J31" s="2950" t="s">
        <v>3097</v>
      </c>
    </row>
    <row r="32" spans="1:10" ht="62.25">
      <c r="A32" s="2279" t="s">
        <v>3015</v>
      </c>
      <c r="B32" s="2948" t="s">
        <v>3036</v>
      </c>
      <c r="C32" s="2276">
        <v>12</v>
      </c>
      <c r="D32" s="715" t="s">
        <v>3098</v>
      </c>
      <c r="E32" s="2276">
        <v>0</v>
      </c>
      <c r="F32" s="2956" t="s">
        <v>3057</v>
      </c>
      <c r="G32" s="717">
        <f>C32*E32/10000</f>
        <v>0</v>
      </c>
      <c r="H32" s="717" t="e">
        <f>ROUND(G32*10000/'数据-汇总表'!D3,2)</f>
        <v>#DIV/0!</v>
      </c>
      <c r="I32" s="2960">
        <f>ROUND(C32*10000*1762953.52/(2536623.77*666.67),2)</f>
        <v>125.1</v>
      </c>
      <c r="J32" s="2950" t="s">
        <v>3099</v>
      </c>
    </row>
    <row r="33" spans="1:10" ht="51">
      <c r="A33" s="2279" t="s">
        <v>3026</v>
      </c>
      <c r="B33" s="2948" t="s">
        <v>3037</v>
      </c>
      <c r="C33" s="2276">
        <v>15</v>
      </c>
      <c r="D33" s="715" t="s">
        <v>3083</v>
      </c>
      <c r="E33" s="2276"/>
      <c r="F33" s="2956" t="s">
        <v>3057</v>
      </c>
      <c r="G33" s="717">
        <f>C33*E33/10000</f>
        <v>0</v>
      </c>
      <c r="H33" s="717" t="e">
        <f>ROUND(G33*10000/'数据-汇总表'!D3,2)</f>
        <v>#DIV/0!</v>
      </c>
      <c r="I33" s="2960">
        <f>ROUND(C33*1824086.15/2536623.77,2)</f>
        <v>10.79</v>
      </c>
      <c r="J33" s="2950" t="s">
        <v>3100</v>
      </c>
    </row>
    <row r="34" spans="1:10" ht="27.75" customHeight="1">
      <c r="A34" s="2272" t="s">
        <v>3039</v>
      </c>
      <c r="B34" s="2949" t="s">
        <v>3038</v>
      </c>
      <c r="C34" s="715" t="s">
        <v>3054</v>
      </c>
      <c r="D34" s="715" t="s">
        <v>3054</v>
      </c>
      <c r="E34" s="715" t="s">
        <v>3054</v>
      </c>
      <c r="F34" s="732" t="s">
        <v>3054</v>
      </c>
      <c r="G34" s="717" t="e">
        <f>ROUND(H34*'数据-汇总表'!D3/10000,2)</f>
        <v>#DIV/0!</v>
      </c>
      <c r="H34" s="717">
        <v>100</v>
      </c>
      <c r="I34" s="2960">
        <v>100</v>
      </c>
      <c r="J34" s="2950" t="s">
        <v>3101</v>
      </c>
    </row>
    <row r="35" spans="1:10" ht="42" customHeight="1">
      <c r="A35" s="2272" t="s">
        <v>3040</v>
      </c>
      <c r="B35" s="2949" t="s">
        <v>3041</v>
      </c>
      <c r="C35" s="2957">
        <v>4.3499999999999997E-2</v>
      </c>
      <c r="D35" s="715" t="s">
        <v>3054</v>
      </c>
      <c r="E35" s="2276">
        <v>1</v>
      </c>
      <c r="F35" s="2952" t="s">
        <v>3102</v>
      </c>
      <c r="G35" s="717" t="e">
        <f>ROUND((G9+G29)*E35*C35+G34*(E35/2)*C35,2)</f>
        <v>#DIV/0!</v>
      </c>
      <c r="H35" s="717" t="e">
        <f>ROUND((H9+H29)*E35*C35+H34*(E35/2)*C35,2)</f>
        <v>#DIV/0!</v>
      </c>
      <c r="I35" s="2960">
        <f>ROUND((I9+I29)*E35*C35+I34*(E35/2)*C35,2)</f>
        <v>39.35</v>
      </c>
      <c r="J35" s="2950" t="s">
        <v>3103</v>
      </c>
    </row>
    <row r="36" spans="1:10" ht="30.75" customHeight="1">
      <c r="A36" s="2272" t="s">
        <v>3042</v>
      </c>
      <c r="B36" s="2949" t="s">
        <v>3043</v>
      </c>
      <c r="C36" s="2957">
        <v>0.08</v>
      </c>
      <c r="D36" s="715" t="s">
        <v>3054</v>
      </c>
      <c r="E36" s="715" t="s">
        <v>3054</v>
      </c>
      <c r="F36" s="732" t="s">
        <v>3054</v>
      </c>
      <c r="G36" s="717" t="e">
        <f>ROUND((G9+G29+G34)*8%,2)</f>
        <v>#DIV/0!</v>
      </c>
      <c r="H36" s="717" t="e">
        <f>ROUND((H9+H29+H34)*8%,2)</f>
        <v>#DIV/0!</v>
      </c>
      <c r="I36" s="2960">
        <f>ROUND((I9+I29+I34)*8%,2)</f>
        <v>76.37</v>
      </c>
      <c r="J36" s="2950" t="s">
        <v>3104</v>
      </c>
    </row>
    <row r="37" spans="1:10" ht="31.5" customHeight="1">
      <c r="A37" s="2272" t="s">
        <v>3044</v>
      </c>
      <c r="B37" s="2949" t="s">
        <v>3045</v>
      </c>
      <c r="C37" s="715" t="s">
        <v>3054</v>
      </c>
      <c r="D37" s="715" t="s">
        <v>3054</v>
      </c>
      <c r="E37" s="715" t="s">
        <v>3054</v>
      </c>
      <c r="F37" s="732" t="s">
        <v>3054</v>
      </c>
      <c r="G37" s="717" t="e">
        <f>ROUND(G9+G29+G34+G35+G36,2)</f>
        <v>#DIV/0!</v>
      </c>
      <c r="H37" s="717" t="e">
        <f>ROUND(H9+H29+H34+H35+H36,2)</f>
        <v>#DIV/0!</v>
      </c>
      <c r="I37" s="2960">
        <f>ROUND(I9+I29+I34+I35+I36,2)</f>
        <v>1070.3</v>
      </c>
      <c r="J37" s="2950" t="s">
        <v>3106</v>
      </c>
    </row>
    <row r="38" spans="1:10" ht="42" customHeight="1">
      <c r="A38" s="2272" t="s">
        <v>3046</v>
      </c>
      <c r="B38" s="2949" t="s">
        <v>3047</v>
      </c>
      <c r="C38" s="2957">
        <v>0.15</v>
      </c>
      <c r="D38" s="715" t="s">
        <v>3054</v>
      </c>
      <c r="E38" s="715" t="s">
        <v>3054</v>
      </c>
      <c r="F38" s="732" t="s">
        <v>3054</v>
      </c>
      <c r="G38" s="717" t="e">
        <f>ROUND(G37*C38,2)</f>
        <v>#DIV/0!</v>
      </c>
      <c r="H38" s="717" t="e">
        <f>ROUND(H37*C38,2)</f>
        <v>#DIV/0!</v>
      </c>
      <c r="I38" s="2960">
        <f>ROUND(I37*C38,2)</f>
        <v>160.55000000000001</v>
      </c>
      <c r="J38" s="2950" t="s">
        <v>3105</v>
      </c>
    </row>
    <row r="39" spans="1:10" ht="20.25" customHeight="1">
      <c r="A39" s="2272" t="s">
        <v>3048</v>
      </c>
      <c r="B39" s="2949" t="s">
        <v>3049</v>
      </c>
      <c r="C39" s="2958">
        <v>0.94569999999999999</v>
      </c>
      <c r="D39" s="715" t="s">
        <v>3054</v>
      </c>
      <c r="E39" s="715" t="s">
        <v>3054</v>
      </c>
      <c r="F39" s="732" t="s">
        <v>3054</v>
      </c>
      <c r="G39" s="732" t="s">
        <v>3054</v>
      </c>
      <c r="H39" s="732" t="s">
        <v>3113</v>
      </c>
      <c r="I39" s="2962" t="s">
        <v>3054</v>
      </c>
      <c r="J39" s="2950" t="s">
        <v>3107</v>
      </c>
    </row>
    <row r="40" spans="1:10" ht="20.25" customHeight="1">
      <c r="A40" s="2272" t="s">
        <v>3050</v>
      </c>
      <c r="B40" s="2949" t="s">
        <v>3051</v>
      </c>
      <c r="C40" s="2276">
        <v>1</v>
      </c>
      <c r="D40" s="715" t="s">
        <v>3054</v>
      </c>
      <c r="E40" s="715" t="s">
        <v>3054</v>
      </c>
      <c r="F40" s="715" t="s">
        <v>3054</v>
      </c>
      <c r="G40" s="715" t="s">
        <v>3054</v>
      </c>
      <c r="H40" s="715" t="s">
        <v>3113</v>
      </c>
      <c r="I40" s="2963" t="s">
        <v>3054</v>
      </c>
      <c r="J40" s="2950" t="s">
        <v>3108</v>
      </c>
    </row>
    <row r="41" spans="1:10" ht="32.25" customHeight="1">
      <c r="A41" s="2272" t="s">
        <v>3052</v>
      </c>
      <c r="B41" s="2949" t="s">
        <v>3053</v>
      </c>
      <c r="C41" s="715" t="s">
        <v>3054</v>
      </c>
      <c r="D41" s="715" t="s">
        <v>3054</v>
      </c>
      <c r="E41" s="715" t="s">
        <v>3054</v>
      </c>
      <c r="F41" s="715" t="s">
        <v>3054</v>
      </c>
      <c r="G41" s="717" t="e">
        <f>ROUND((G37+G38)*C39*C40,0)</f>
        <v>#DIV/0!</v>
      </c>
      <c r="H41" s="717" t="e">
        <f>ROUND((H37+H38)*C39*C40,0)</f>
        <v>#DIV/0!</v>
      </c>
      <c r="I41" s="2960">
        <f>ROUND((I37+I38)*C39*C40,0)</f>
        <v>1164</v>
      </c>
      <c r="J41" s="2950" t="s">
        <v>3109</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09" t="s">
        <v>2065</v>
      </c>
      <c r="B1" s="3009"/>
      <c r="C1" s="3009"/>
      <c r="D1" s="3009"/>
    </row>
    <row r="2" spans="1:4" ht="47.25" customHeight="1">
      <c r="A2" s="3010" t="str">
        <f>"1.权利限制："&amp;项目基本情况!L24&amp;"未设定租赁等其他他项权利。"</f>
        <v>1.权利限制：根据估价对象《不动产权证书》原件、《国有土地使用权》复印件，截至估价期日，估价对象抵押权未见登记。未设定租赁等其他他项权利。</v>
      </c>
      <c r="B2" s="3010"/>
      <c r="C2" s="3010"/>
      <c r="D2" s="3010"/>
    </row>
    <row r="3" spans="1:4" ht="48" customHeight="1">
      <c r="A3" s="30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09"/>
      <c r="C3" s="3009"/>
      <c r="D3" s="3009"/>
    </row>
    <row r="4" spans="1:4" ht="36.75" customHeight="1">
      <c r="A4" s="3009" t="str">
        <f>"3.估价规划限制条件：详见"&amp;项目基本情况!E21&amp;"。"</f>
        <v>3.估价规划限制条件：详见《建设工程规划许可证》[]、《出让合同》[]。</v>
      </c>
      <c r="B4" s="3009"/>
      <c r="C4" s="3009"/>
      <c r="D4" s="3009"/>
    </row>
    <row r="5" spans="1:4">
      <c r="A5" s="3008" t="s">
        <v>2066</v>
      </c>
      <c r="B5" s="3008"/>
      <c r="C5" s="3008"/>
      <c r="D5" s="3008"/>
    </row>
    <row r="6" spans="1:4">
      <c r="A6" s="3009" t="s">
        <v>2044</v>
      </c>
      <c r="B6" s="3009"/>
      <c r="C6" s="3009"/>
      <c r="D6" s="3009"/>
    </row>
    <row r="7" spans="1:4" ht="33" customHeight="1">
      <c r="A7" s="3009" t="s">
        <v>2575</v>
      </c>
      <c r="B7" s="3009"/>
      <c r="C7" s="3009"/>
      <c r="D7" s="3009"/>
    </row>
    <row r="8" spans="1:4" ht="32.25" customHeight="1">
      <c r="A8" s="30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09"/>
      <c r="C8" s="3009"/>
      <c r="D8" s="3009"/>
    </row>
    <row r="9" spans="1:4" ht="33.75" customHeight="1">
      <c r="A9" s="30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09"/>
      <c r="C9" s="3009"/>
      <c r="D9" s="3009"/>
    </row>
    <row r="10" spans="1:4">
      <c r="A10" s="3009" t="str">
        <f>IF(项目基本情况!B8="抵押","4.估价师所知悉的法定优先受偿款情况为：","——")</f>
        <v>4.估价师所知悉的法定优先受偿款情况为：</v>
      </c>
      <c r="B10" s="3009"/>
      <c r="C10" s="3009"/>
      <c r="D10" s="3009"/>
    </row>
    <row r="11" spans="1:4" ht="37.5" customHeight="1">
      <c r="A11" s="30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09"/>
      <c r="C11" s="3009"/>
      <c r="D11" s="3009"/>
    </row>
    <row r="12" spans="1:4" ht="168" customHeight="1">
      <c r="A12" s="3008" t="s">
        <v>2068</v>
      </c>
      <c r="B12" s="3008"/>
      <c r="C12" s="3008"/>
      <c r="D12" s="3008"/>
    </row>
    <row r="13" spans="1:4">
      <c r="A13" s="3011" t="s">
        <v>2746</v>
      </c>
      <c r="B13" s="3011"/>
      <c r="C13" s="3011"/>
      <c r="D13" s="3011"/>
    </row>
    <row r="14" spans="1:4">
      <c r="A14" s="3009" t="str">
        <f>IF(项目基本情况!B8="抵押","综上，"&amp;结果表!K47,"——")</f>
        <v>综上，本次评估不存在估价师知悉的法定优先受偿款</v>
      </c>
      <c r="B14" s="3009"/>
      <c r="C14" s="3009"/>
      <c r="D14" s="3009"/>
    </row>
    <row r="15" spans="1:4" ht="58.5" customHeight="1">
      <c r="A15" s="30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09"/>
      <c r="C15" s="3009"/>
      <c r="D15" s="3009"/>
    </row>
    <row r="16" spans="1:4" ht="70.5" customHeight="1">
      <c r="A16" s="30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09"/>
      <c r="C16" s="3009"/>
      <c r="D16" s="3009"/>
    </row>
    <row r="17" spans="1:4">
      <c r="A17" s="3009" t="s">
        <v>2702</v>
      </c>
      <c r="B17" s="3009"/>
      <c r="C17" s="3009"/>
      <c r="D17" s="3009"/>
    </row>
    <row r="18" spans="1:4">
      <c r="A18" s="3009" t="s">
        <v>2694</v>
      </c>
      <c r="B18" s="3009"/>
      <c r="C18" s="3009"/>
      <c r="D18" s="3009"/>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09" t="s">
        <v>2699</v>
      </c>
      <c r="B23" s="3009"/>
      <c r="C23" s="3009"/>
      <c r="D23" s="3009"/>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19" t="s">
        <v>53</v>
      </c>
      <c r="B15" s="3020" t="s">
        <v>846</v>
      </c>
      <c r="C15" s="3016"/>
    </row>
    <row r="16" spans="1:7" ht="14.25">
      <c r="A16" s="3019"/>
      <c r="B16" s="3017" t="s">
        <v>54</v>
      </c>
      <c r="C16" s="1112" t="s">
        <v>53</v>
      </c>
    </row>
    <row r="17" spans="1:3" ht="14.25">
      <c r="A17" s="3019"/>
      <c r="B17" s="3017"/>
      <c r="C17" s="1112" t="s">
        <v>55</v>
      </c>
    </row>
    <row r="18" spans="1:3" ht="14.25">
      <c r="A18" s="3019"/>
      <c r="B18" s="3017"/>
      <c r="C18" s="1112" t="s">
        <v>56</v>
      </c>
    </row>
    <row r="19" spans="1:3" ht="14.25">
      <c r="A19" s="3019"/>
      <c r="B19" s="3015" t="s">
        <v>57</v>
      </c>
      <c r="C19" s="3016"/>
    </row>
    <row r="20" spans="1:3" ht="14.25">
      <c r="A20" s="1113" t="s">
        <v>58</v>
      </c>
      <c r="B20" s="1114"/>
      <c r="C20" s="1115"/>
    </row>
    <row r="21" spans="1:3" ht="14.25">
      <c r="A21" s="3018" t="s">
        <v>59</v>
      </c>
      <c r="B21" s="3015" t="s">
        <v>60</v>
      </c>
      <c r="C21" s="3016"/>
    </row>
    <row r="22" spans="1:3" ht="14.25">
      <c r="A22" s="3018"/>
      <c r="B22" s="3015" t="s">
        <v>61</v>
      </c>
      <c r="C22" s="3016"/>
    </row>
    <row r="23" spans="1:3" ht="14.25">
      <c r="A23" s="3018"/>
      <c r="B23" s="3015" t="s">
        <v>62</v>
      </c>
      <c r="C23" s="3016"/>
    </row>
    <row r="24" spans="1:3" ht="14.25">
      <c r="A24" s="3018"/>
      <c r="B24" s="3021" t="s">
        <v>63</v>
      </c>
      <c r="C24" s="1116" t="s">
        <v>837</v>
      </c>
    </row>
    <row r="25" spans="1:3" ht="14.25">
      <c r="A25" s="3018"/>
      <c r="B25" s="3022"/>
      <c r="C25" s="1116" t="s">
        <v>838</v>
      </c>
    </row>
    <row r="26" spans="1:3" ht="14.25">
      <c r="A26" s="3018"/>
      <c r="B26" s="3022"/>
      <c r="C26" s="1116" t="s">
        <v>839</v>
      </c>
    </row>
    <row r="27" spans="1:3" ht="14.25">
      <c r="A27" s="3018"/>
      <c r="B27" s="3022"/>
      <c r="C27" s="1116" t="s">
        <v>840</v>
      </c>
    </row>
    <row r="28" spans="1:3" ht="14.25">
      <c r="A28" s="3018"/>
      <c r="B28" s="3022"/>
      <c r="C28" s="1116" t="s">
        <v>841</v>
      </c>
    </row>
    <row r="29" spans="1:3" ht="14.25">
      <c r="A29" s="3018"/>
      <c r="B29" s="3022"/>
      <c r="C29" s="1116" t="s">
        <v>842</v>
      </c>
    </row>
    <row r="30" spans="1:3" ht="14.25">
      <c r="A30" s="3018"/>
      <c r="B30" s="3022"/>
      <c r="C30" s="1116" t="s">
        <v>843</v>
      </c>
    </row>
    <row r="31" spans="1:3" ht="14.25">
      <c r="A31" s="3018"/>
      <c r="B31" s="3022"/>
      <c r="C31" s="1116" t="s">
        <v>844</v>
      </c>
    </row>
    <row r="32" spans="1:3" ht="14.25">
      <c r="A32" s="3018"/>
      <c r="B32" s="3022"/>
      <c r="C32" s="1116" t="s">
        <v>1646</v>
      </c>
    </row>
    <row r="33" spans="1:3" ht="14.25">
      <c r="A33" s="3018"/>
      <c r="B33" s="3012" t="s">
        <v>1652</v>
      </c>
      <c r="C33" s="1116" t="s">
        <v>1647</v>
      </c>
    </row>
    <row r="34" spans="1:3" ht="14.25">
      <c r="A34" s="3018"/>
      <c r="B34" s="3013"/>
      <c r="C34" s="1121" t="s">
        <v>1648</v>
      </c>
    </row>
    <row r="35" spans="1:3" ht="14.25">
      <c r="A35" s="3018"/>
      <c r="B35" s="3013"/>
      <c r="C35" s="1122" t="s">
        <v>1649</v>
      </c>
    </row>
    <row r="36" spans="1:3" ht="14.25">
      <c r="A36" s="3018"/>
      <c r="B36" s="3013"/>
      <c r="C36" s="1122" t="s">
        <v>1650</v>
      </c>
    </row>
    <row r="37" spans="1:3" ht="14.25">
      <c r="A37" s="3018"/>
      <c r="B37" s="3014"/>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45723</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2978</v>
      </c>
      <c r="B14" s="2898" t="str">
        <f ca="1">IF(C14&lt;B2,"已过期",1120040230)</f>
        <v>已过期</v>
      </c>
      <c r="C14" s="2902">
        <v>43835</v>
      </c>
      <c r="D14" s="2903" t="s">
        <v>2979</v>
      </c>
      <c r="E14" s="2898">
        <f ca="1">IF(F14&lt;B2,"已过期",98030020)</f>
        <v>98030020</v>
      </c>
      <c r="F14" s="2901">
        <v>47118</v>
      </c>
    </row>
    <row r="15" spans="1:6" ht="20.25" customHeight="1">
      <c r="A15" s="2898" t="s">
        <v>2574</v>
      </c>
      <c r="B15" s="2898" t="str">
        <f ca="1">IF(C15&lt;B2,"已过期",1120070085)</f>
        <v>已过期</v>
      </c>
      <c r="C15" s="2902">
        <v>43814</v>
      </c>
      <c r="D15" s="2898" t="s">
        <v>2980</v>
      </c>
      <c r="E15" s="2898">
        <f ca="1">IF(F15&lt;B2,"已过期",2004110128)</f>
        <v>2004110128</v>
      </c>
      <c r="F15" s="2904">
        <v>47118</v>
      </c>
    </row>
    <row r="16" spans="1:6" ht="20.25" customHeight="1">
      <c r="A16" s="2898" t="s">
        <v>1923</v>
      </c>
      <c r="B16" s="2898" t="str">
        <f ca="1">IF(C16&lt;B2,"已过期",1120140022)</f>
        <v>已过期</v>
      </c>
      <c r="C16" s="2900">
        <v>44029</v>
      </c>
      <c r="D16" s="2898" t="s">
        <v>2981</v>
      </c>
      <c r="E16" s="2898">
        <f ca="1">IF(F16&lt;B2,"已过期",2008110059)</f>
        <v>2008110059</v>
      </c>
      <c r="F16" s="2901">
        <v>47177</v>
      </c>
    </row>
    <row r="17" spans="1:7" ht="20.25" customHeight="1">
      <c r="A17" s="2898"/>
      <c r="B17" s="2898"/>
      <c r="C17" s="2900"/>
      <c r="D17" s="2903" t="s">
        <v>2982</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23" t="s">
        <v>1926</v>
      </c>
      <c r="B25" s="3023"/>
      <c r="C25" s="3023"/>
      <c r="D25" s="3023"/>
      <c r="E25" s="3023"/>
      <c r="F25" s="3023"/>
      <c r="G25" s="3023"/>
    </row>
    <row r="26" spans="1:7" ht="20.25" customHeight="1">
      <c r="A26" s="3024" t="s">
        <v>1927</v>
      </c>
      <c r="B26" s="3024"/>
      <c r="C26" s="3024"/>
      <c r="D26" s="3024" t="s">
        <v>1928</v>
      </c>
      <c r="E26" s="3024"/>
      <c r="F26" s="3024"/>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2990</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2952</v>
      </c>
      <c r="C18" s="1463"/>
    </row>
    <row r="19" spans="1:3">
      <c r="A19" s="8" t="s">
        <v>120</v>
      </c>
      <c r="B19" s="2833" t="s">
        <v>2960</v>
      </c>
      <c r="C19" s="1463"/>
    </row>
    <row r="20" spans="1:3">
      <c r="A20" s="8" t="s">
        <v>121</v>
      </c>
      <c r="B20" s="8" t="s">
        <v>3124</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25"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c r="D53" s="1662"/>
      <c r="E53" s="1662"/>
    </row>
    <row r="54" spans="1:5">
      <c r="A54" s="3025"/>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25"/>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25"/>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25"/>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036-成本逼近法（出让）</vt:lpstr>
      <vt:lpstr>009-成本逼近法（出让</vt:lpstr>
      <vt:lpstr>0071-成本逼近法（出让）</vt:lpstr>
      <vt:lpstr>0072-成本逼近法（出让）</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2025-03-07T07:34:10Z</dcterms:modified>
</cp:coreProperties>
</file>