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85" yWindow="-60" windowWidth="15555" windowHeight="124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成本法 (元)" sheetId="69" r:id="rId21"/>
    <sheet name="基准地价修正" sheetId="43" r:id="rId22"/>
    <sheet name="收益法 (元)" sheetId="67" r:id="rId23"/>
    <sheet name="比较法-办公" sheetId="34" state="hidden" r:id="rId24"/>
    <sheet name="比较法-租金" sheetId="89" state="hidden" r:id="rId25"/>
    <sheet name="假设开发法" sheetId="12" state="hidden" r:id="rId26"/>
    <sheet name="收益法（汇总）" sheetId="70" state="hidden" r:id="rId27"/>
    <sheet name="收益法" sheetId="15" state="hidden" r:id="rId28"/>
    <sheet name="收益法-酒店模型" sheetId="77"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残值" sheetId="82" state="hidden" r:id="rId47"/>
    <sheet name="Sheet1" sheetId="90" r:id="rId48"/>
    <sheet name="Sheet2" sheetId="93" r:id="rId49"/>
  </sheets>
  <externalReferences>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9" hidden="1">'比较法-住宅'!$A$1:$L$49</definedName>
    <definedName name="_xlnm._FilterDatabase" localSheetId="24"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24">'比较法-租金'!$A$1:$K$55,'比较法-租金'!$A$58:$M$132</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5">假设开发法!$A$1:$K$32</definedName>
    <definedName name="_xlnm.Print_Area" localSheetId="17">结果表!$A$1:$I$127</definedName>
    <definedName name="_xlnm.Print_Area" localSheetId="27">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46">'收益法-残值'!$A$1:$F$43,'收益法-残值'!$H$3:$M$29,'收益法-残值'!$A$46:$F$71,'收益法-残值'!$I$46:$N$65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 i="93" l="1"/>
  <c r="U2" i="43"/>
  <c r="I4" i="93"/>
  <c r="I3" i="93"/>
  <c r="N19" i="1"/>
  <c r="I48" i="89" l="1"/>
  <c r="G48" i="89"/>
  <c r="E48" i="89"/>
  <c r="E55" i="89" l="1"/>
  <c r="F55" i="89" s="1"/>
  <c r="B131" i="89"/>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D90" i="89"/>
  <c r="E90" i="89" s="1"/>
  <c r="B89" i="89"/>
  <c r="E88" i="89"/>
  <c r="F88" i="89" s="1"/>
  <c r="G88" i="89" s="1"/>
  <c r="H88" i="89" s="1"/>
  <c r="I88" i="89" s="1"/>
  <c r="J88" i="89" s="1"/>
  <c r="K88" i="89" s="1"/>
  <c r="L88" i="89" s="1"/>
  <c r="M88" i="89" s="1"/>
  <c r="D88" i="89"/>
  <c r="E86" i="89"/>
  <c r="F86" i="89" s="1"/>
  <c r="G86" i="89" s="1"/>
  <c r="D86" i="89"/>
  <c r="E84" i="89"/>
  <c r="F84" i="89" s="1"/>
  <c r="G84" i="89" s="1"/>
  <c r="D84" i="89"/>
  <c r="E82" i="89"/>
  <c r="F82" i="89" s="1"/>
  <c r="G82" i="89" s="1"/>
  <c r="D82" i="89"/>
  <c r="E80" i="89"/>
  <c r="F80" i="89" s="1"/>
  <c r="G80" i="89" s="1"/>
  <c r="D80" i="89"/>
  <c r="E78" i="89"/>
  <c r="F78" i="89" s="1"/>
  <c r="G78" i="89" s="1"/>
  <c r="D78" i="89"/>
  <c r="B75" i="89"/>
  <c r="B73" i="89"/>
  <c r="B71" i="89"/>
  <c r="F70" i="89"/>
  <c r="G70" i="89" s="1"/>
  <c r="H70" i="89" s="1"/>
  <c r="I70" i="89" s="1"/>
  <c r="J70" i="89" s="1"/>
  <c r="K70" i="89" s="1"/>
  <c r="L70" i="89" s="1"/>
  <c r="M70" i="89" s="1"/>
  <c r="E70" i="89"/>
  <c r="D70" i="89"/>
  <c r="M68" i="89"/>
  <c r="L68" i="89"/>
  <c r="K68" i="89"/>
  <c r="J68" i="89"/>
  <c r="I68" i="89"/>
  <c r="H68" i="89"/>
  <c r="G68" i="89"/>
  <c r="F68" i="89"/>
  <c r="E68" i="89"/>
  <c r="D68" i="89"/>
  <c r="C68" i="89"/>
  <c r="C64" i="89"/>
  <c r="I55" i="89"/>
  <c r="J55" i="89" s="1"/>
  <c r="G55" i="89"/>
  <c r="H55" i="89" s="1"/>
  <c r="P50" i="89"/>
  <c r="P49" i="89"/>
  <c r="K49" i="89"/>
  <c r="V48" i="89"/>
  <c r="T48" i="89"/>
  <c r="R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H27" i="89"/>
  <c r="AB27" i="89" s="1"/>
  <c r="Q25" i="89"/>
  <c r="Z25" i="89" s="1"/>
  <c r="J25" i="89"/>
  <c r="W25" i="89" s="1"/>
  <c r="H25" i="89"/>
  <c r="AB25" i="89" s="1"/>
  <c r="F25" i="89"/>
  <c r="S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AC8" i="89" s="1"/>
  <c r="H8" i="89"/>
  <c r="U8" i="89" s="1"/>
  <c r="F8" i="89"/>
  <c r="S8" i="89" s="1"/>
  <c r="D2" i="89"/>
  <c r="AA8" i="89" l="1"/>
  <c r="J27" i="89"/>
  <c r="AC27" i="89" s="1"/>
  <c r="F27" i="89"/>
  <c r="S27" i="89" s="1"/>
  <c r="F90" i="89"/>
  <c r="G90" i="89" s="1"/>
  <c r="H90" i="89" s="1"/>
  <c r="I90" i="89" s="1"/>
  <c r="J90" i="89" s="1"/>
  <c r="K90" i="89" s="1"/>
  <c r="L90" i="89" s="1"/>
  <c r="M90" i="89" s="1"/>
  <c r="U10" i="89"/>
  <c r="W11" i="89"/>
  <c r="S13" i="89"/>
  <c r="U14" i="89"/>
  <c r="U15" i="89"/>
  <c r="U17" i="89"/>
  <c r="U19" i="89"/>
  <c r="U21" i="89"/>
  <c r="U23" i="89"/>
  <c r="W10" i="89"/>
  <c r="S12" i="89"/>
  <c r="U13" i="89"/>
  <c r="W14" i="89"/>
  <c r="W15" i="89"/>
  <c r="W17" i="89"/>
  <c r="W19" i="89"/>
  <c r="W21" i="89"/>
  <c r="W23" i="89"/>
  <c r="AA25" i="89"/>
  <c r="W8" i="89"/>
  <c r="AB8" i="89"/>
  <c r="W9" i="89"/>
  <c r="S11" i="89"/>
  <c r="U12" i="89"/>
  <c r="W13" i="89"/>
  <c r="AC25" i="89"/>
  <c r="S9" i="89"/>
  <c r="U9" i="89"/>
  <c r="S10" i="89"/>
  <c r="U11" i="89"/>
  <c r="W12" i="89"/>
  <c r="S14" i="89"/>
  <c r="S15" i="89"/>
  <c r="S17" i="89"/>
  <c r="S19" i="89"/>
  <c r="S21" i="89"/>
  <c r="S23" i="89"/>
  <c r="U28" i="89"/>
  <c r="W29" i="89"/>
  <c r="S31" i="89"/>
  <c r="U32" i="89"/>
  <c r="W33" i="89"/>
  <c r="S36" i="89"/>
  <c r="U38" i="89"/>
  <c r="W39" i="89"/>
  <c r="S41" i="89"/>
  <c r="U42" i="89"/>
  <c r="W43" i="89"/>
  <c r="S45" i="89"/>
  <c r="U46" i="89"/>
  <c r="W47" i="89"/>
  <c r="U27" i="89"/>
  <c r="W28" i="89"/>
  <c r="S30" i="89"/>
  <c r="U31" i="89"/>
  <c r="W32" i="89"/>
  <c r="S35" i="89"/>
  <c r="U36" i="89"/>
  <c r="W38" i="89"/>
  <c r="S40" i="89"/>
  <c r="U41" i="89"/>
  <c r="W42" i="89"/>
  <c r="S44" i="89"/>
  <c r="U45" i="89"/>
  <c r="W46" i="89"/>
  <c r="U25" i="89"/>
  <c r="S29" i="89"/>
  <c r="U30" i="89"/>
  <c r="W31" i="89"/>
  <c r="S33" i="89"/>
  <c r="U35" i="89"/>
  <c r="W36" i="89"/>
  <c r="S39" i="89"/>
  <c r="U40" i="89"/>
  <c r="W41" i="89"/>
  <c r="S43" i="89"/>
  <c r="U44" i="89"/>
  <c r="W45" i="89"/>
  <c r="S47" i="89"/>
  <c r="S28" i="89"/>
  <c r="U29" i="89"/>
  <c r="W30" i="89"/>
  <c r="S32" i="89"/>
  <c r="U33" i="89"/>
  <c r="W35" i="89"/>
  <c r="S38" i="89"/>
  <c r="U39" i="89"/>
  <c r="W40" i="89"/>
  <c r="S42" i="89"/>
  <c r="U43" i="89"/>
  <c r="W44" i="89"/>
  <c r="S46" i="89"/>
  <c r="U47" i="89"/>
  <c r="G93" i="33"/>
  <c r="W27" i="89" l="1"/>
  <c r="AA27" i="89"/>
  <c r="F19" i="6" l="1"/>
  <c r="E93" i="33"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7" i="89" l="1"/>
  <c r="C37" i="34"/>
  <c r="C36" i="33"/>
  <c r="Y6" i="1"/>
  <c r="N28" i="1"/>
  <c r="I37" i="89" l="1"/>
  <c r="J37" i="89" s="1"/>
  <c r="G37" i="89"/>
  <c r="H37" i="89" s="1"/>
  <c r="E37" i="89"/>
  <c r="F37" i="89" s="1"/>
  <c r="D3" i="4"/>
  <c r="S37" i="89" l="1"/>
  <c r="AA37" i="89"/>
  <c r="AB37" i="89"/>
  <c r="U37" i="89"/>
  <c r="AC37" i="89"/>
  <c r="W37" i="89"/>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G16" i="3" s="1"/>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C30" i="34"/>
  <c r="AA14" i="34"/>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U34" i="33"/>
  <c r="F35" i="33"/>
  <c r="S35" i="33"/>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J23" i="33"/>
  <c r="F85" i="33"/>
  <c r="H23" i="33"/>
  <c r="F81" i="33"/>
  <c r="F19" i="33"/>
  <c r="S19" i="33"/>
  <c r="W19" i="33"/>
  <c r="J17" i="33"/>
  <c r="F79" i="33"/>
  <c r="S15" i="33"/>
  <c r="W15"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L17" i="3"/>
  <c r="BL13"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AC37" i="33"/>
  <c r="W46" i="33"/>
  <c r="U39" i="33"/>
  <c r="U38" i="33"/>
  <c r="U44" i="33"/>
  <c r="AB44" i="33"/>
  <c r="S30" i="33"/>
  <c r="AA30" i="33"/>
  <c r="AC14" i="33"/>
  <c r="W14" i="33"/>
  <c r="AC30" i="33"/>
  <c r="W30" i="33"/>
  <c r="S31" i="33"/>
  <c r="AA31" i="33"/>
  <c r="W13" i="33"/>
  <c r="AC13" i="33"/>
  <c r="U15" i="33"/>
  <c r="S11" i="33"/>
  <c r="U37"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AC32" i="33"/>
  <c r="W32" i="33"/>
  <c r="U27" i="33"/>
  <c r="AB27" i="33"/>
  <c r="G91" i="33"/>
  <c r="H91" i="33"/>
  <c r="I91" i="33"/>
  <c r="J91" i="33"/>
  <c r="K91" i="33"/>
  <c r="L91" i="33"/>
  <c r="M91" i="33"/>
  <c r="J27"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F9" i="67"/>
  <c r="L47" i="15"/>
  <c r="M22" i="67"/>
  <c r="F9" i="82"/>
  <c r="M23" i="15"/>
  <c r="E9" i="76"/>
  <c r="M29" i="15"/>
  <c r="B10" i="76"/>
  <c r="B13" i="76"/>
  <c r="M26" i="67"/>
  <c r="F7" i="15"/>
  <c r="F37" i="15"/>
  <c r="C76" i="82"/>
  <c r="M8" i="82"/>
  <c r="F42" i="15"/>
  <c r="M8" i="15"/>
  <c r="B12" i="76"/>
  <c r="F36" i="15"/>
  <c r="E12" i="76"/>
  <c r="E2" i="69"/>
  <c r="F38" i="15"/>
  <c r="F9" i="15"/>
  <c r="M8" i="67"/>
  <c r="D4" i="73"/>
  <c r="F38" i="67"/>
  <c r="M9" i="82"/>
  <c r="D3" i="73"/>
  <c r="F13" i="15"/>
  <c r="F36" i="82"/>
  <c r="M26" i="82"/>
  <c r="F26" i="15"/>
  <c r="F42" i="82"/>
  <c r="F16" i="82"/>
  <c r="B7" i="76"/>
  <c r="F6" i="82"/>
  <c r="F7" i="73"/>
  <c r="D6" i="73"/>
  <c r="J15" i="15"/>
  <c r="F6" i="73"/>
  <c r="D7" i="73"/>
  <c r="F6" i="15"/>
  <c r="M28" i="67"/>
  <c r="M24" i="82"/>
  <c r="F37" i="82"/>
  <c r="AO13" i="1"/>
  <c r="F8" i="82"/>
  <c r="E7" i="76"/>
  <c r="L47" i="82"/>
  <c r="F40" i="15"/>
  <c r="M6" i="67"/>
  <c r="M23" i="82"/>
  <c r="F8" i="67"/>
  <c r="F26" i="67"/>
  <c r="F40" i="67"/>
  <c r="M28" i="15"/>
  <c r="E8" i="76"/>
  <c r="B11" i="76"/>
  <c r="L48" i="82"/>
  <c r="F43" i="82"/>
  <c r="F3" i="73"/>
  <c r="F8" i="15"/>
  <c r="F5" i="73"/>
  <c r="F16" i="67"/>
  <c r="M26" i="15"/>
  <c r="L47" i="67"/>
  <c r="M28" i="82"/>
  <c r="M6" i="82"/>
  <c r="F13" i="67"/>
  <c r="C76" i="15"/>
  <c r="C76" i="67"/>
  <c r="F38" i="82"/>
  <c r="F43" i="15"/>
  <c r="M9" i="15"/>
  <c r="F4" i="73"/>
  <c r="J15" i="82"/>
  <c r="M9" i="67"/>
  <c r="J15" i="67"/>
  <c r="E13" i="76"/>
  <c r="M22" i="82"/>
  <c r="M24" i="15"/>
  <c r="M22" i="15"/>
  <c r="F6" i="67"/>
  <c r="E10" i="76"/>
  <c r="D5" i="73"/>
  <c r="F16" i="15"/>
  <c r="F13" i="82"/>
  <c r="M24" i="67"/>
  <c r="M6" i="15"/>
  <c r="F26" i="82"/>
  <c r="F20" i="31"/>
  <c r="E11" i="76"/>
  <c r="M27" i="82"/>
  <c r="M29" i="82"/>
  <c r="F37" i="67"/>
  <c r="F7" i="82"/>
  <c r="F36" i="67"/>
  <c r="M23" i="67"/>
  <c r="F40" i="82"/>
  <c r="F42" i="67"/>
  <c r="B9" i="76"/>
  <c r="E2" i="68"/>
  <c r="K64" i="43" l="1"/>
  <c r="J64" i="43" s="1"/>
  <c r="F8" i="1"/>
  <c r="G8" i="1" s="1"/>
  <c r="K6" i="1"/>
  <c r="M6" i="1" s="1"/>
  <c r="O6" i="1" s="1"/>
  <c r="D3" i="89"/>
  <c r="E7" i="34"/>
  <c r="G7" i="34"/>
  <c r="I7" i="34"/>
  <c r="J51" i="82"/>
  <c r="I54" i="82" s="1"/>
  <c r="C7" i="89"/>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G26" i="12"/>
  <c r="G7" i="33"/>
  <c r="I7" i="33"/>
  <c r="E7" i="33"/>
  <c r="J51" i="15"/>
  <c r="C18" i="9"/>
  <c r="D18" i="9" s="1"/>
  <c r="AC11" i="33"/>
  <c r="M20" i="15"/>
  <c r="F34" i="82"/>
  <c r="F62" i="82" s="1"/>
  <c r="M20" i="82"/>
  <c r="F48" i="9"/>
  <c r="O52" i="9" s="1"/>
  <c r="F32" i="82"/>
  <c r="F60" i="82" s="1"/>
  <c r="M18" i="82"/>
  <c r="F28" i="82"/>
  <c r="C28" i="82" s="1"/>
  <c r="BA17" i="3"/>
  <c r="H50" i="43"/>
  <c r="G50" i="43" s="1"/>
  <c r="M50" i="43" s="1"/>
  <c r="N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4" i="43"/>
  <c r="D65" i="43"/>
  <c r="D69" i="43"/>
  <c r="D73" i="43"/>
  <c r="D75" i="43"/>
  <c r="D79" i="43"/>
  <c r="D22" i="67"/>
  <c r="AQ13" i="1"/>
  <c r="Q16" i="1"/>
  <c r="H16"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M7" i="15"/>
  <c r="J6" i="15" s="1"/>
  <c r="F50" i="15"/>
  <c r="F51" i="15"/>
  <c r="F71" i="15"/>
  <c r="C6" i="15"/>
  <c r="F66" i="67"/>
  <c r="L59" i="15"/>
  <c r="N59" i="15"/>
  <c r="M59" i="15"/>
  <c r="F66" i="15"/>
  <c r="Q71" i="67"/>
  <c r="F64" i="15"/>
  <c r="C27" i="67"/>
  <c r="C27" i="15"/>
  <c r="F65" i="15"/>
  <c r="B13" i="70"/>
  <c r="F68" i="67"/>
  <c r="F64" i="67"/>
  <c r="F68" i="15"/>
  <c r="C36" i="68"/>
  <c r="D9" i="69"/>
  <c r="D9" i="68"/>
  <c r="G1" i="73"/>
  <c r="M29" i="67"/>
  <c r="F43" i="67"/>
  <c r="C16" i="15"/>
  <c r="L48" i="67"/>
  <c r="F7" i="67"/>
  <c r="C16" i="82"/>
  <c r="L48" i="15"/>
  <c r="C44" i="43" l="1"/>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F31" i="67"/>
  <c r="L27" i="1"/>
  <c r="N27" i="1" s="1"/>
  <c r="N26" i="1" s="1"/>
  <c r="F71" i="67"/>
  <c r="C6" i="67"/>
  <c r="C32" i="67" s="1"/>
  <c r="F50" i="67"/>
  <c r="C49" i="67" s="1"/>
  <c r="M7" i="67"/>
  <c r="J6" i="67" s="1"/>
  <c r="J18" i="67" s="1"/>
  <c r="N59" i="82"/>
  <c r="L60" i="82"/>
  <c r="Q57" i="82" s="1"/>
  <c r="J57" i="82"/>
  <c r="J55" i="82" s="1"/>
  <c r="J58" i="82" s="1"/>
  <c r="Q50" i="82" s="1"/>
  <c r="L57" i="82"/>
  <c r="L56" i="82"/>
  <c r="L59" i="82"/>
  <c r="Q61" i="82" s="1"/>
  <c r="J53" i="82"/>
  <c r="Q52" i="82" s="1"/>
  <c r="M59" i="82"/>
  <c r="C59" i="89"/>
  <c r="D59" i="89" s="1"/>
  <c r="E59" i="89" s="1"/>
  <c r="F59" i="89" s="1"/>
  <c r="G59" i="89" s="1"/>
  <c r="H59" i="89" s="1"/>
  <c r="I59" i="89" s="1"/>
  <c r="J59" i="89" s="1"/>
  <c r="K59" i="89" s="1"/>
  <c r="L59" i="89" s="1"/>
  <c r="M59" i="89" s="1"/>
  <c r="N59" i="89" s="1"/>
  <c r="O59" i="89" s="1"/>
  <c r="E7" i="89"/>
  <c r="F7" i="89" s="1"/>
  <c r="I7" i="89"/>
  <c r="G7" i="89"/>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L2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J7" i="34"/>
  <c r="W7" i="34" s="1"/>
  <c r="F7" i="34"/>
  <c r="S7" i="34" s="1"/>
  <c r="AA26" i="35"/>
  <c r="S26" i="35"/>
  <c r="AC26" i="35"/>
  <c r="W26" i="35"/>
  <c r="AB26" i="35"/>
  <c r="U26" i="35"/>
  <c r="E56" i="40"/>
  <c r="C9" i="69"/>
  <c r="C9" i="68"/>
  <c r="E72" i="43"/>
  <c r="B70" i="43" s="1"/>
  <c r="F27" i="11"/>
  <c r="C29" i="11" s="1"/>
  <c r="D27" i="11" s="1"/>
  <c r="F28" i="12"/>
  <c r="C29" i="12" s="1"/>
  <c r="D28" i="12" s="1"/>
  <c r="E60" i="40"/>
  <c r="E27" i="6"/>
  <c r="K26" i="6" s="1"/>
  <c r="M26" i="6" s="1"/>
  <c r="I26" i="6" s="1"/>
  <c r="S26" i="6" s="1"/>
  <c r="F31" i="6"/>
  <c r="E51" i="40"/>
  <c r="E58" i="40"/>
  <c r="E62" i="39"/>
  <c r="AY6" i="3"/>
  <c r="E3" i="6"/>
  <c r="D5" i="43"/>
  <c r="C7" i="43"/>
  <c r="C5" i="43" s="1"/>
  <c r="D10" i="52"/>
  <c r="D125" i="9"/>
  <c r="D11" i="52" s="1"/>
  <c r="B7" i="74"/>
  <c r="F67" i="39"/>
  <c r="E69" i="39"/>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F59" i="67" l="1"/>
  <c r="Q72" i="67"/>
  <c r="Q59" i="67"/>
  <c r="N59" i="67"/>
  <c r="L59" i="67"/>
  <c r="M59" i="67"/>
  <c r="M17" i="67"/>
  <c r="J66" i="43"/>
  <c r="D66" i="43"/>
  <c r="J63" i="43"/>
  <c r="D63" i="43"/>
  <c r="J62" i="43"/>
  <c r="D62" i="43"/>
  <c r="E61" i="43" s="1"/>
  <c r="B59" i="43" s="1"/>
  <c r="J67" i="43"/>
  <c r="D67" i="43"/>
  <c r="J5" i="67"/>
  <c r="J24" i="67" s="1"/>
  <c r="C33" i="33"/>
  <c r="C34" i="34"/>
  <c r="C34" i="89"/>
  <c r="Q66" i="82"/>
  <c r="Q74" i="82"/>
  <c r="F1" i="82"/>
  <c r="J7" i="89"/>
  <c r="S7" i="89"/>
  <c r="AA7" i="89"/>
  <c r="H7" i="89"/>
  <c r="Q52" i="67"/>
  <c r="U25" i="33"/>
  <c r="AB25" i="33"/>
  <c r="N58" i="43"/>
  <c r="D58" i="43"/>
  <c r="M14" i="1"/>
  <c r="Q73" i="67"/>
  <c r="Q60" i="15"/>
  <c r="E16" i="6"/>
  <c r="E61" i="39"/>
  <c r="H33" i="33"/>
  <c r="F33" i="33"/>
  <c r="J33" i="33"/>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10" i="40"/>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15"/>
  <c r="AE6" i="1"/>
  <c r="M27" i="15"/>
  <c r="M27" i="67"/>
  <c r="Q61" i="67" l="1"/>
  <c r="Q74" i="67"/>
  <c r="H34" i="89"/>
  <c r="J34" i="89"/>
  <c r="F34" i="89"/>
  <c r="H34" i="34"/>
  <c r="F34" i="34"/>
  <c r="J34" i="34"/>
  <c r="W10" i="40"/>
  <c r="AB7" i="89"/>
  <c r="U7" i="89"/>
  <c r="W7" i="89"/>
  <c r="AC7" i="89"/>
  <c r="AC10" i="39"/>
  <c r="AC33" i="33"/>
  <c r="V48" i="33" s="1"/>
  <c r="I48" i="33" s="1"/>
  <c r="I52" i="33" s="1"/>
  <c r="J52" i="33" s="1"/>
  <c r="W33" i="33"/>
  <c r="AA33" i="33"/>
  <c r="R48" i="33" s="1"/>
  <c r="E48" i="33" s="1"/>
  <c r="S33" i="33"/>
  <c r="AB33" i="33"/>
  <c r="T48" i="33" s="1"/>
  <c r="U33" i="33"/>
  <c r="AA10" i="40"/>
  <c r="S10" i="39"/>
  <c r="AA10" i="39"/>
  <c r="E6" i="3"/>
  <c r="E50" i="43"/>
  <c r="B48" i="43" s="1"/>
  <c r="C28" i="43" s="1"/>
  <c r="J26" i="82"/>
  <c r="Q36" i="43"/>
  <c r="M36" i="43"/>
  <c r="P36" i="43"/>
  <c r="O36" i="43"/>
  <c r="L37" i="43"/>
  <c r="P37" i="43" s="1"/>
  <c r="C38" i="82"/>
  <c r="C24" i="82"/>
  <c r="C66"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82"/>
  <c r="C17" i="15"/>
  <c r="C14" i="67"/>
  <c r="AC34" i="34" l="1"/>
  <c r="V49" i="34" s="1"/>
  <c r="I49" i="34" s="1"/>
  <c r="W34" i="34"/>
  <c r="AA34" i="89"/>
  <c r="R49" i="89" s="1"/>
  <c r="E49" i="89" s="1"/>
  <c r="E53" i="89" s="1"/>
  <c r="F53" i="89" s="1"/>
  <c r="S34" i="89"/>
  <c r="AA34" i="34"/>
  <c r="R49" i="34" s="1"/>
  <c r="E49" i="34" s="1"/>
  <c r="E53" i="34" s="1"/>
  <c r="F53" i="34" s="1"/>
  <c r="S34" i="34"/>
  <c r="AC34" i="89"/>
  <c r="V49" i="89" s="1"/>
  <c r="I49" i="89" s="1"/>
  <c r="W34" i="89"/>
  <c r="AB34" i="34"/>
  <c r="U34" i="34"/>
  <c r="U34" i="89"/>
  <c r="AB34" i="89"/>
  <c r="T49" i="89" s="1"/>
  <c r="G48" i="33"/>
  <c r="R49" i="33"/>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F35" i="82"/>
  <c r="M21" i="82"/>
  <c r="C14" i="15"/>
  <c r="C14" i="82"/>
  <c r="C8" i="69" l="1"/>
  <c r="B29" i="1"/>
  <c r="C8" i="68" s="1"/>
  <c r="I53" i="89"/>
  <c r="J53" i="89" s="1"/>
  <c r="I54" i="89"/>
  <c r="J54" i="89" s="1"/>
  <c r="G49" i="89"/>
  <c r="E54" i="89" s="1"/>
  <c r="F54" i="89" s="1"/>
  <c r="R50" i="89"/>
  <c r="I53" i="34"/>
  <c r="J53" i="34" s="1"/>
  <c r="I54" i="34"/>
  <c r="J54" i="34" s="1"/>
  <c r="V3" i="43"/>
  <c r="W3" i="43"/>
  <c r="V2" i="43"/>
  <c r="W2" i="43"/>
  <c r="C6" i="69" s="1"/>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18" i="12" l="1"/>
  <c r="C21" i="12" s="1"/>
  <c r="C22" i="12" s="1"/>
  <c r="C27" i="12" s="1"/>
  <c r="C25" i="12" s="1"/>
  <c r="C50" i="89"/>
  <c r="C49" i="89"/>
  <c r="G53" i="89"/>
  <c r="H53" i="89" s="1"/>
  <c r="G54" i="89"/>
  <c r="H54" i="89"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89" l="1"/>
  <c r="B2" i="89"/>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15"/>
  <c r="M21" i="67"/>
  <c r="F35" i="67"/>
  <c r="M21" i="15"/>
  <c r="U37" i="34" l="1"/>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G49" i="34" l="1"/>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30" i="67"/>
  <c r="C39" i="67" s="1"/>
  <c r="H41"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D2" i="33"/>
  <c r="L51" i="82"/>
  <c r="L51" i="67"/>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D2" i="35"/>
  <c r="D2" i="37"/>
  <c r="D2" i="34"/>
  <c r="D2" i="36"/>
  <c r="F41" i="67"/>
  <c r="L51" i="15"/>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F41" i="82"/>
  <c r="AO8" i="1"/>
  <c r="AO12" i="1"/>
  <c r="AO11" i="1"/>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AO7" i="1"/>
  <c r="D35" i="9"/>
  <c r="C20"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C32" i="9" l="1"/>
  <c r="C35" i="9" s="1"/>
  <c r="C34" i="9" s="1"/>
  <c r="E14" i="74"/>
  <c r="G118" i="9" l="1"/>
  <c r="G4" i="52" s="1"/>
  <c r="B52" i="72" s="1"/>
  <c r="I118" i="9"/>
  <c r="H118" i="9" s="1"/>
  <c r="H119" i="9" s="1"/>
  <c r="H5" i="52" s="1"/>
  <c r="I4" i="52" l="1"/>
  <c r="F118" i="9"/>
  <c r="F119" i="9" s="1"/>
  <c r="F5" i="52" s="1"/>
  <c r="B53" i="72" s="1"/>
  <c r="C105" i="9"/>
  <c r="C104" i="9"/>
  <c r="H101" i="9"/>
  <c r="M48" i="9" s="1"/>
  <c r="H4" i="52"/>
  <c r="E118" i="9"/>
  <c r="E4" i="52" s="1"/>
  <c r="B48" i="72" s="1"/>
  <c r="H102" i="9"/>
  <c r="D7" i="53" s="1"/>
  <c r="B21" i="72" s="1"/>
  <c r="H107" i="9"/>
  <c r="D13" i="53" s="1"/>
  <c r="B30" i="72" s="1"/>
  <c r="F14" i="74"/>
  <c r="B5" i="74"/>
  <c r="D5" i="74" s="1"/>
  <c r="D5" i="53" l="1"/>
  <c r="B20" i="72" s="1"/>
  <c r="D118" i="9"/>
  <c r="D4" i="52" s="1"/>
  <c r="B47" i="72" s="1"/>
  <c r="F4" i="52"/>
  <c r="B51" i="72" s="1"/>
  <c r="D45" i="9"/>
  <c r="D53" i="9" s="1"/>
  <c r="G14" i="74"/>
  <c r="B6" i="74" s="1"/>
  <c r="D6" i="74" s="1"/>
  <c r="H108" i="9"/>
  <c r="D122" i="9"/>
  <c r="D123" i="9" s="1"/>
  <c r="D9" i="52" s="1"/>
  <c r="M49" i="9"/>
  <c r="L67" i="9" s="1"/>
  <c r="M67" i="9" s="1"/>
  <c r="C5" i="74"/>
  <c r="D14" i="53"/>
  <c r="B32" i="72" s="1"/>
  <c r="D119" i="9" l="1"/>
  <c r="D5" i="52" s="1"/>
  <c r="B49" i="72" s="1"/>
  <c r="D6" i="53"/>
  <c r="B22" i="72" s="1"/>
  <c r="D55" i="9"/>
  <c r="M53" i="9" s="1"/>
  <c r="C78" i="9"/>
  <c r="C73" i="9" s="1"/>
  <c r="D52" i="9"/>
  <c r="C93" i="9"/>
  <c r="C86" i="9" s="1"/>
  <c r="C72" i="9"/>
  <c r="C64" i="9"/>
  <c r="C63" i="9" s="1"/>
  <c r="C67" i="9" s="1"/>
  <c r="C68" i="9" s="1"/>
  <c r="D54" i="9" s="1"/>
  <c r="C85" i="9"/>
  <c r="D8" i="52"/>
  <c r="L64" i="9"/>
  <c r="M64" i="9" s="1"/>
  <c r="L66" i="9"/>
  <c r="M66" i="9" s="1"/>
  <c r="L65" i="9"/>
  <c r="M65" i="9" s="1"/>
  <c r="C6" i="74"/>
  <c r="D15" i="53"/>
  <c r="B31" i="72" s="1"/>
  <c r="L63" i="9"/>
  <c r="M63" i="9" s="1"/>
  <c r="L68" i="9"/>
  <c r="M68" i="9" s="1"/>
  <c r="D59" i="9" l="1"/>
  <c r="M55" i="9" s="1"/>
  <c r="C79" i="9"/>
  <c r="C80" i="9" s="1"/>
  <c r="E80" i="9" s="1"/>
  <c r="E81" i="9" s="1"/>
  <c r="C95" i="9"/>
  <c r="C96" i="9" s="1"/>
  <c r="E96" i="9" s="1"/>
  <c r="E97" i="9" s="1"/>
  <c r="M69" i="9"/>
  <c r="N69" i="9" s="1"/>
  <c r="C81" i="9" l="1"/>
  <c r="C97" i="9"/>
  <c r="D58" i="9" s="1"/>
  <c r="D56" i="9" s="1"/>
  <c r="M54" i="9" s="1"/>
  <c r="N57" i="9" s="1"/>
  <c r="N59" i="9" s="1"/>
  <c r="N60" i="9" s="1"/>
  <c r="P57" i="9" l="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<sst xmlns="http://schemas.openxmlformats.org/spreadsheetml/2006/main" count="8753" uniqueCount="3530">
  <si>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</si>
  <si>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</si>
  <si>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</si>
  <si>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</si>
  <si>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</si>
  <si>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</si>
  <si>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</si>
  <si>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</si>
  <si>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</si>
  <si>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</si>
  <si>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</si>
  <si>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</si>
  <si>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</si>
  <si>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</si>
  <si>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</si>
  <si>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</si>
  <si>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</si>
  <si>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</si>
  <si>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</si>
  <si>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</si>
  <si>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</si>
  <si>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</si>
  <si>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</si>
  <si>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</si>
  <si>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</si>
  <si>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</si>
  <si>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</si>
  <si>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</si>
  <si>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</si>
  <si>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</si>
  <si>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</si>
  <si>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</si>
  <si>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</si>
  <si>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</si>
  <si>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</si>
  <si>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</si>
  <si>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</si>
  <si>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</si>
  <si>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</si>
  <si>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</si>
  <si>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</si>
  <si>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</si>
  <si>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</si>
  <si>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</si>
  <si>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</si>
  <si>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</si>
  <si>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</si>
  <si>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</si>
  <si>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</si>
  <si>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</si>
  <si>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</si>
  <si>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</si>
  <si>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</si>
  <si>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</si>
  <si>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</si>
  <si>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</si>
  <si>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</si>
  <si>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</si>
  <si>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</si>
  <si>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</si>
  <si>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</si>
  <si>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</si>
  <si>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</si>
  <si>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</si>
  <si>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</si>
  <si>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</si>
  <si>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</si>
  <si>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</si>
  <si>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</si>
  <si>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</si>
  <si>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</si>
  <si>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</si>
  <si>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</si>
  <si>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</si>
  <si>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</si>
  <si>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</si>
  <si>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</si>
  <si>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</si>
  <si>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</si>
  <si>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</si>
  <si>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</si>
  <si>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</si>
  <si>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</si>
  <si>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</si>
  <si>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</si>
  <si>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</si>
  <si>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</si>
  <si>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</si>
  <si>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</si>
  <si>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</si>
  <si>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</si>
  <si>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</si>
  <si>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</si>
  <si>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</si>
  <si>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</si>
  <si>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</si>
  <si>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</si>
  <si>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</si>
  <si>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</si>
  <si>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</si>
  <si>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</si>
  <si>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</si>
  <si>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</si>
  <si>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</si>
  <si>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</si>
  <si>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</si>
  <si>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</si>
  <si>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</si>
  <si>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</si>
  <si>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</si>
  <si>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</si>
  <si>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</si>
  <si>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</si>
  <si>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</si>
  <si>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</si>
  <si>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</si>
  <si>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</si>
  <si>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</si>
  <si>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</si>
  <si>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</si>
  <si>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</si>
  <si>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</si>
  <si>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</si>
  <si>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</si>
  <si>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</si>
  <si>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</si>
  <si>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</si>
  <si>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</si>
  <si>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</si>
  <si>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</si>
  <si>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</si>
  <si>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</si>
  <si>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</si>
  <si>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</si>
  <si>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</si>
  <si>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</si>
  <si>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</si>
  <si>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</si>
  <si>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</si>
  <si>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</si>
  <si>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</si>
  <si>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</si>
  <si>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</si>
  <si>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</si>
  <si>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</si>
  <si>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</si>
  <si>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</si>
  <si>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</si>
  <si>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</si>
  <si>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</si>
  <si>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</si>
  <si>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</si>
  <si>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</si>
  <si>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</si>
  <si>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</si>
  <si>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</si>
  <si>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</si>
  <si>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</si>
  <si>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</si>
  <si>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</si>
  <si>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</si>
  <si>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</si>
  <si>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</si>
  <si>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</si>
  <si>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</si>
  <si>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</si>
  <si>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</si>
  <si>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</si>
  <si>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</si>
  <si>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</si>
  <si>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</si>
  <si>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</si>
  <si>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</si>
  <si>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</si>
  <si>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</si>
  <si>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</si>
  <si>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</si>
  <si>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</si>
  <si>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</si>
  <si>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</si>
  <si>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</si>
  <si>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</si>
  <si>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</si>
  <si>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</si>
  <si>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</si>
  <si>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</si>
  <si>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</si>
  <si>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</si>
  <si>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</si>
  <si>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</si>
  <si>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</si>
  <si>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</si>
  <si>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</si>
  <si>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</si>
  <si>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</si>
  <si>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</si>
  <si>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</si>
  <si>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</si>
  <si>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</si>
  <si>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</si>
  <si>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</si>
  <si>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</si>
  <si>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</si>
  <si>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</si>
  <si>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</si>
  <si>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</si>
  <si>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</si>
  <si>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</si>
  <si>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</si>
  <si>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</si>
  <si>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</si>
  <si>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</si>
  <si>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</si>
  <si>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</si>
  <si>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</si>
  <si>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</si>
  <si>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</si>
  <si>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</si>
  <si>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</si>
  <si>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</si>
  <si>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</si>
  <si>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</si>
  <si>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</si>
  <si>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</si>
  <si>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</si>
  <si>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</si>
  <si>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</si>
  <si>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</si>
  <si>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</si>
  <si>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</si>
  <si>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</si>
  <si>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</si>
  <si>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</si>
  <si>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</si>
  <si>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</si>
  <si>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</si>
  <si>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</si>
  <si>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</si>
  <si>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</si>
  <si>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</si>
  <si>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</si>
  <si>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</si>
  <si>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</si>
  <si>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</si>
  <si>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</si>
  <si>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</si>
  <si>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</si>
  <si>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</si>
  <si>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</si>
  <si>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</si>
  <si>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</si>
  <si>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</si>
  <si>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</si>
  <si>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</si>
  <si>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</si>
  <si>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</si>
  <si>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</si>
  <si>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</si>
  <si>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</si>
  <si>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</si>
  <si>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</si>
  <si>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</si>
  <si>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</si>
  <si>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</si>
  <si>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</si>
  <si>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</si>
  <si>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</si>
  <si>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</si>
  <si>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</si>
  <si>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</si>
  <si>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</si>
  <si>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</si>
  <si>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</si>
  <si>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</si>
  <si>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</si>
  <si>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</si>
  <si>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</si>
  <si>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</si>
  <si>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</si>
  <si>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</si>
  <si>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</si>
  <si>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</si>
  <si>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</si>
  <si>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</si>
  <si>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</si>
  <si>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</si>
  <si>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</si>
  <si>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</si>
  <si>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</si>
  <si>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</si>
  <si>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</si>
  <si>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</si>
  <si>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</si>
  <si>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</si>
  <si>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</si>
  <si>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</si>
  <si>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</si>
  <si>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</si>
  <si>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</si>
  <si>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</si>
  <si>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</si>
  <si>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</si>
  <si>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</si>
  <si>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</si>
  <si>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</si>
  <si>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</si>
  <si>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</si>
  <si>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</si>
  <si>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</si>
  <si>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</si>
  <si>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</si>
  <si>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</si>
  <si>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</si>
  <si>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</si>
  <si>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</si>
  <si>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</si>
  <si>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</si>
  <si>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</si>
  <si>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</si>
  <si>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</si>
  <si>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</si>
  <si>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</si>
  <si>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</si>
  <si>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</si>
  <si>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</si>
  <si>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</si>
  <si>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</si>
  <si>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</si>
  <si>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</si>
  <si>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</si>
  <si>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</si>
  <si>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</si>
  <si>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</si>
  <si>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</si>
  <si>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</si>
  <si>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</si>
  <si>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</si>
  <si>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</si>
  <si>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</si>
  <si>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</si>
  <si>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</si>
  <si>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</si>
  <si>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</si>
  <si>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</si>
  <si>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</si>
  <si>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</si>
  <si>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</si>
  <si>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</si>
  <si>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</si>
  <si>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</si>
  <si>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</si>
  <si>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</si>
  <si>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</si>
  <si>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</si>
  <si>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</si>
  <si>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</si>
  <si>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</si>
  <si>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</si>
  <si>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</si>
  <si>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</si>
  <si>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</si>
  <si>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</si>
  <si>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</si>
  <si>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</si>
  <si>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</si>
  <si>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</si>
  <si>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</si>
  <si>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</si>
  <si>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</si>
  <si>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</si>
  <si>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</si>
  <si>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</si>
  <si>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</si>
  <si>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</si>
  <si>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</si>
  <si>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</si>
  <si>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</si>
  <si>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</si>
  <si>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</si>
  <si>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</si>
  <si>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</si>
  <si>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</si>
  <si>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</si>
  <si>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</si>
  <si>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</si>
  <si>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</si>
  <si>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</si>
  <si>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</si>
  <si>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</si>
  <si>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</si>
  <si>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</si>
  <si>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</si>
  <si>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</si>
  <si>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</si>
  <si>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</si>
  <si>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</si>
  <si>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</si>
  <si>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</si>
  <si>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</si>
  <si>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</si>
  <si>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</si>
  <si>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</si>
  <si>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</si>
  <si>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</si>
  <si>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</si>
  <si>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</si>
  <si>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</si>
  <si>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</si>
  <si>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</si>
  <si>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</si>
  <si>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</si>
  <si>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</si>
  <si>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</si>
  <si>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</si>
  <si>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</si>
  <si>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</si>
  <si>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</si>
  <si>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</si>
  <si>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</si>
  <si>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</si>
  <si>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</si>
  <si>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</si>
  <si>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</si>
  <si>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</si>
  <si>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</si>
  <si>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</si>
  <si>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</si>
  <si>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</si>
  <si>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</si>
  <si>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</si>
  <si>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</si>
  <si>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</si>
  <si>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</si>
  <si>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</si>
  <si>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</si>
  <si>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</si>
  <si>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</si>
  <si>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</si>
  <si>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</si>
  <si>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</si>
  <si>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</si>
  <si>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</si>
  <si>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</si>
  <si>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</si>
  <si>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</si>
  <si>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</si>
  <si>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</si>
  <si>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</si>
  <si>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</si>
  <si>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</si>
  <si>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</si>
  <si>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</si>
  <si>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</si>
  <si>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</si>
  <si>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</si>
  <si>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</si>
  <si>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</si>
  <si>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</si>
  <si>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</si>
  <si>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</si>
  <si>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</si>
  <si>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</si>
  <si>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</si>
  <si>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</si>
  <si>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</si>
  <si>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</si>
  <si>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</si>
  <si>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</si>
  <si>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</si>
  <si>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</si>
  <si>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</si>
  <si>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</si>
  <si>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</si>
  <si>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</si>
  <si>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</si>
  <si>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</si>
  <si>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</si>
  <si>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</si>
  <si>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</si>
  <si>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</si>
  <si>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</si>
  <si>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</si>
  <si>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</si>
  <si>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</si>
  <si>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</si>
  <si>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</si>
  <si>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</si>
  <si>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</si>
  <si>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</si>
  <si>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</si>
  <si>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</si>
  <si>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</si>
  <si>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</si>
  <si>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</si>
  <si>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</si>
  <si>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</si>
  <si>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</si>
  <si>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</si>
  <si>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</si>
  <si>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</si>
  <si>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</si>
  <si>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</si>
  <si>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</si>
  <si>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</si>
  <si>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</si>
  <si>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</si>
  <si>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</si>
  <si>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</si>
  <si>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</si>
  <si>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</si>
  <si>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</si>
  <si>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</si>
  <si>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</si>
  <si>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</si>
  <si>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</si>
  <si>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</si>
  <si>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</si>
  <si>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</si>
  <si>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</si>
  <si>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</si>
  <si>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</si>
  <si>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</si>
  <si>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</si>
  <si>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</si>
  <si>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</si>
  <si>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</si>
  <si>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</si>
  <si>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</si>
  <si>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</si>
  <si>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</si>
  <si>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</si>
  <si>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</si>
  <si>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</si>
  <si>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</si>
  <si>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</si>
  <si>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</si>
  <si>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</si>
  <si>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</si>
  <si>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</si>
  <si>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</si>
  <si>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</si>
  <si>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</si>
  <si>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</si>
  <si>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</si>
  <si>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</si>
  <si>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</si>
  <si>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</si>
  <si>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</si>
  <si>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</si>
  <si>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</si>
  <si>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</si>
  <si>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</si>
  <si>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</si>
  <si>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</si>
  <si>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</si>
  <si>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</si>
  <si>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</si>
  <si>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</si>
  <si>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</si>
  <si>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</si>
  <si>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</si>
  <si>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</si>
  <si>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</si>
  <si>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</si>
  <si>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</si>
  <si>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</si>
  <si>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</si>
  <si>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</si>
  <si>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</si>
  <si>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</si>
  <si>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</si>
  <si>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</si>
  <si>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</si>
  <si>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</si>
  <si>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</si>
  <si>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</si>
  <si>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</si>
  <si>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</si>
  <si>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</si>
  <si>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</si>
  <si>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</si>
  <si>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</si>
  <si>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</si>
  <si>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</si>
  <si>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</si>
  <si>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</si>
  <si>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</si>
  <si>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</si>
  <si>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</si>
  <si>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</si>
  <si>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</si>
  <si>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</si>
  <si>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</si>
  <si>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</si>
  <si>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</si>
  <si>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</si>
  <si>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</si>
  <si>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</si>
  <si>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</si>
  <si>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</si>
  <si>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</si>
  <si>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</si>
  <si>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</si>
  <si>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</si>
  <si>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</si>
  <si>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</si>
  <si>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</si>
  <si>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</si>
  <si>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</si>
  <si>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</si>
  <si>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</si>
  <si>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</si>
  <si>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</si>
  <si>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</si>
  <si>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</si>
  <si>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</si>
  <si>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</si>
  <si>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</si>
  <si>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</si>
  <si>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</si>
  <si>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</si>
  <si>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</si>
  <si>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</si>
  <si>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</si>
  <si>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</si>
  <si>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</si>
  <si>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</si>
  <si>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</si>
  <si>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</si>
  <si>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</si>
  <si>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</si>
  <si>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</si>
  <si>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</si>
  <si>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</si>
  <si>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</si>
  <si>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</si>
  <si>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</si>
  <si>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</si>
  <si>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</si>
  <si>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</si>
  <si>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</si>
  <si>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</si>
  <si>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</si>
  <si>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</si>
  <si>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</si>
  <si>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</si>
  <si>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</si>
  <si>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</si>
  <si>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</si>
  <si>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</si>
  <si>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</si>
  <si>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</si>
  <si>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</si>
  <si>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</si>
  <si>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</si>
  <si>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</si>
  <si>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</si>
  <si>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</si>
  <si>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</si>
  <si>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</si>
  <si>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</si>
  <si>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</si>
  <si>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</si>
  <si>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</si>
  <si>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</si>
  <si>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</si>
  <si>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</si>
  <si>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</si>
  <si>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</si>
  <si>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</si>
  <si>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</si>
  <si>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</si>
  <si>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</si>
  <si>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</si>
  <si>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</si>
  <si>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</si>
  <si>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</si>
  <si>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</si>
  <si>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</si>
  <si>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</si>
  <si>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</si>
  <si>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</si>
  <si>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</si>
  <si>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</si>
  <si>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</si>
  <si>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</si>
  <si>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</si>
  <si>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</si>
  <si>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</si>
  <si>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</si>
  <si>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</si>
  <si>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</si>
  <si>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</si>
  <si>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</si>
  <si>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</si>
  <si>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</si>
  <si>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</si>
  <si>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</si>
  <si>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</si>
  <si>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</si>
  <si>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</si>
  <si>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</si>
  <si>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</si>
  <si>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</si>
  <si>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</si>
  <si>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</si>
  <si>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</si>
  <si>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</si>
  <si>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</si>
  <si>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</si>
  <si>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</si>
  <si>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</si>
  <si>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</si>
  <si>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</si>
  <si>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</si>
  <si>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</si>
  <si>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</si>
  <si>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</si>
  <si>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</si>
  <si>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</si>
  <si>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</si>
  <si>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</si>
  <si>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</si>
  <si>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</si>
  <si>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</si>
  <si>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</si>
  <si>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</si>
  <si>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</si>
  <si>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</si>
  <si>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</si>
  <si>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</si>
  <si>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</si>
  <si>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</si>
  <si>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</si>
  <si>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</si>
  <si>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</si>
  <si>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</si>
  <si>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</si>
  <si>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</si>
  <si>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</si>
  <si>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</si>
  <si>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</si>
  <si>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</si>
  <si>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</si>
  <si>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</si>
  <si>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</si>
  <si>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</si>
  <si>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</si>
  <si>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</si>
  <si>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</si>
  <si>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</si>
  <si>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</si>
  <si>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</si>
  <si>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</si>
  <si>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</si>
  <si>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</si>
  <si>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</si>
  <si>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</si>
  <si>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</si>
  <si>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</si>
  <si>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</si>
  <si>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</si>
  <si>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</si>
  <si>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</si>
  <si>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</si>
  <si>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</si>
  <si>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</si>
  <si>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</si>
  <si>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</si>
  <si>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</si>
  <si>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</si>
  <si>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</si>
  <si>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</si>
  <si>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</si>
  <si>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</si>
  <si>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</si>
  <si>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</si>
  <si>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</si>
  <si>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</si>
  <si>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</si>
  <si>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</si>
  <si>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</si>
  <si>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</si>
  <si>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</si>
  <si>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</si>
  <si>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</si>
  <si>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</si>
  <si>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</si>
  <si>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</si>
  <si>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</si>
  <si>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</si>
  <si>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</si>
  <si>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</si>
  <si>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</si>
  <si>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</si>
  <si>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</si>
  <si>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</si>
  <si>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</si>
  <si>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</si>
  <si>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</si>
  <si>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</si>
  <si>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</si>
  <si>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</si>
  <si>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</si>
  <si>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</si>
  <si>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</si>
  <si>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</si>
  <si>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</si>
  <si>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</si>
  <si>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</si>
  <si>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</si>
  <si>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</si>
  <si>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</si>
  <si>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</si>
  <si>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</si>
  <si>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</si>
  <si>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</si>
  <si>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</si>
  <si>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</si>
  <si>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</si>
  <si>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</si>
  <si>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</si>
  <si>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</si>
  <si>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</si>
  <si>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</si>
  <si>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</si>
  <si>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</si>
  <si>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</si>
  <si>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</si>
  <si>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</si>
  <si>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</si>
  <si>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</si>
  <si>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</si>
  <si>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</si>
  <si>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</si>
  <si>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</si>
  <si>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</si>
  <si>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</si>
  <si>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</si>
  <si>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</si>
  <si>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</si>
  <si>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</si>
  <si>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</si>
  <si>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</si>
  <si>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</si>
  <si>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</si>
  <si>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</si>
  <si>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</si>
  <si>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</si>
  <si>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</si>
  <si>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</si>
  <si>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</si>
  <si>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</si>
  <si>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</si>
  <si>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</si>
  <si>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</si>
  <si>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</si>
  <si>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</si>
  <si>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</si>
  <si>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</si>
  <si>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</si>
  <si>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</si>
  <si>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</si>
  <si>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</si>
  <si>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</si>
  <si>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</si>
  <si>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</si>
  <si>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</si>
  <si>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</si>
  <si>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</si>
  <si>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</si>
  <si>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</si>
  <si>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</si>
  <si>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</si>
  <si>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</si>
  <si>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</si>
  <si>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</si>
  <si>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</si>
  <si>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</si>
  <si>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</si>
  <si>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</si>
  <si>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</si>
  <si>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</si>
  <si>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</si>
  <si>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</si>
  <si>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</si>
  <si>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</si>
  <si>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</si>
  <si>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</si>
  <si>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</si>
  <si>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</si>
  <si>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</si>
  <si>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</si>
  <si>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</si>
  <si>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</si>
  <si>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</si>
  <si>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</si>
  <si>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</si>
  <si>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</si>
  <si>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</si>
  <si>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</si>
  <si>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</si>
  <si>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</si>
  <si>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</si>
  <si>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</si>
  <si>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</si>
  <si>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</si>
  <si>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</si>
  <si>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</si>
  <si>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</si>
  <si>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</si>
  <si>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</si>
  <si>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</si>
  <si>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</si>
  <si>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</si>
  <si>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</si>
  <si>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</si>
  <si>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</si>
  <si>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</si>
  <si>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</si>
  <si>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</si>
  <si>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</si>
  <si>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</si>
  <si>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</si>
  <si>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</si>
  <si>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</si>
  <si>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</si>
  <si>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</si>
  <si>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</si>
  <si>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</si>
  <si>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</si>
  <si>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</si>
  <si>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</si>
  <si>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</si>
  <si>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</si>
  <si>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</si>
  <si>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</si>
  <si>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</si>
  <si>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</si>
  <si>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</si>
  <si>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</si>
  <si>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</si>
  <si>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</si>
  <si>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</si>
  <si>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</si>
  <si>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</si>
  <si>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</si>
  <si>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</si>
  <si>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</si>
  <si>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</si>
  <si>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</si>
  <si>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</si>
  <si>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</si>
  <si>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</si>
  <si>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</si>
  <si>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</si>
  <si>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</si>
  <si>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</si>
  <si>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</si>
  <si>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</si>
  <si>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</si>
  <si>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</si>
  <si>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</si>
  <si>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</si>
  <si>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</si>
  <si>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</si>
  <si>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</si>
  <si>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</si>
  <si>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</si>
  <si>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</si>
  <si>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</si>
  <si>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</si>
  <si>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</si>
  <si>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</si>
  <si>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</si>
  <si>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</si>
  <si>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</si>
  <si>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</si>
  <si>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</si>
  <si>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</si>
  <si>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</si>
  <si>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</si>
  <si>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</si>
  <si>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</si>
  <si>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</si>
  <si>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</si>
  <si>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</si>
  <si>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</si>
  <si>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</si>
  <si>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</si>
  <si>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</si>
  <si>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</si>
  <si>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</si>
  <si>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</si>
  <si>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</si>
  <si>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</si>
  <si>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</si>
  <si>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</si>
  <si>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</si>
  <si>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</si>
  <si>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</si>
  <si>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</si>
  <si>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</si>
  <si>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</si>
  <si>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</si>
  <si>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</si>
  <si>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</si>
  <si>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</si>
  <si>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</si>
  <si>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</si>
  <si>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</si>
  <si>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</si>
  <si>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</si>
  <si>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</si>
  <si>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</si>
  <si>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</si>
  <si>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</si>
  <si>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</si>
  <si>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</si>
  <si>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</si>
  <si>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</si>
  <si>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</si>
  <si>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</si>
  <si>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</si>
  <si>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</si>
  <si>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</si>
  <si>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</si>
  <si>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</si>
  <si>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</si>
  <si>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</si>
  <si>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</si>
  <si>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</si>
  <si>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</si>
  <si>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</si>
  <si>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</si>
  <si>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</si>
  <si>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</si>
  <si>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</si>
  <si>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</si>
  <si>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</si>
  <si>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</si>
  <si>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</si>
  <si>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</si>
  <si>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</si>
  <si>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</si>
  <si>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</si>
  <si>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</si>
  <si>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</si>
  <si>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</si>
  <si>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</si>
  <si>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</si>
  <si>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</si>
  <si>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</si>
  <si>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</si>
  <si>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</si>
  <si>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</si>
  <si>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</si>
  <si>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</si>
  <si>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</si>
  <si>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</si>
  <si>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</si>
  <si>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</si>
  <si>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</si>
  <si>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</si>
  <si>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</si>
  <si>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</si>
  <si>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</si>
  <si>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</si>
  <si>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</si>
  <si>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</si>
  <si>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</si>
  <si>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</si>
  <si>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</si>
  <si>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</si>
  <si>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</si>
  <si>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</si>
  <si>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</si>
  <si>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</si>
  <si>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</si>
  <si>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</si>
  <si>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</si>
  <si>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</si>
  <si>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</si>
  <si>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</si>
  <si>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</si>
  <si>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</si>
  <si>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</si>
  <si>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</si>
  <si>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</si>
  <si>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</si>
  <si>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</si>
  <si>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</si>
  <si>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</si>
  <si>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</si>
  <si>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</si>
  <si>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</si>
  <si>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</si>
  <si>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</si>
  <si>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</si>
  <si>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</si>
  <si>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</si>
  <si>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</si>
  <si>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</si>
  <si>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</si>
  <si>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</si>
  <si>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</si>
  <si>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</si>
  <si>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</si>
  <si>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</si>
  <si>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</si>
  <si>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</si>
  <si>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</si>
  <si>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</si>
  <si>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</si>
  <si>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</si>
  <si>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</si>
  <si>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</si>
  <si>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</si>
  <si>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</si>
  <si>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</si>
  <si>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</si>
  <si>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</si>
  <si>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</si>
  <si>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</si>
  <si>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</si>
  <si>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</si>
  <si>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</si>
  <si>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</si>
  <si>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</si>
  <si>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</si>
  <si>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</si>
  <si>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</si>
  <si>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</si>
  <si>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</si>
  <si>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</si>
  <si>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</si>
  <si>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</si>
  <si>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</si>
  <si>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</si>
  <si>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</si>
  <si>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</si>
  <si>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</si>
  <si>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</si>
  <si>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</si>
  <si>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</si>
  <si>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</si>
  <si>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</si>
  <si>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</si>
  <si>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</si>
  <si>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</si>
  <si>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</si>
  <si>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</si>
  <si>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</si>
  <si>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</si>
  <si>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</si>
  <si>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</si>
  <si>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</si>
  <si>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</si>
  <si>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</si>
  <si>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</si>
  <si>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</si>
  <si>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</si>
  <si>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</si>
  <si>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</si>
  <si>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</si>
  <si>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</si>
  <si>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</si>
  <si>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</si>
  <si>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</si>
  <si>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</si>
  <si>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</si>
  <si>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</si>
  <si>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</si>
  <si>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</si>
  <si>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</si>
  <si>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</si>
  <si>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</si>
  <si>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</si>
  <si>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</si>
  <si>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</si>
  <si>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</si>
  <si>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</si>
  <si>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</si>
  <si>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</si>
  <si>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</si>
  <si>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</si>
  <si>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</si>
  <si>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</si>
  <si>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</si>
  <si>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</si>
  <si>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</si>
  <si>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</si>
  <si>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</si>
  <si>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</si>
  <si>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</si>
  <si>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</si>
  <si>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</si>
  <si>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</si>
  <si>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</si>
  <si>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</si>
  <si>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</si>
  <si>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</si>
  <si>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</si>
  <si>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</si>
  <si>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</si>
  <si>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</si>
  <si>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</si>
  <si>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</si>
  <si>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</si>
  <si>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</si>
  <si>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</si>
  <si>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</si>
  <si>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</si>
  <si>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</si>
  <si>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</si>
  <si>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</si>
  <si>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</si>
  <si>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</si>
  <si>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</si>
  <si>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</si>
  <si>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</si>
  <si>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</si>
  <si>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</si>
  <si>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</si>
  <si>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</si>
  <si>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</si>
  <si>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</si>
  <si>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</si>
  <si>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</si>
  <si>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</si>
  <si>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</si>
  <si>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</si>
  <si>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</si>
  <si>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</si>
  <si>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</si>
  <si>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</si>
  <si>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</si>
  <si>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</si>
  <si>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</si>
  <si>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</si>
  <si>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</si>
  <si>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</si>
  <si>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</si>
  <si>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</si>
  <si>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</si>
  <si>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</si>
  <si>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</si>
  <si>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</si>
  <si>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</si>
  <si>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</si>
  <si>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</si>
  <si>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</si>
  <si>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</si>
  <si>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</si>
  <si>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</si>
  <si>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</si>
  <si>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</si>
  <si>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</si>
  <si>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</si>
  <si>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</si>
  <si>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</si>
  <si>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</si>
  <si>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</si>
  <si>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</si>
  <si>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</si>
  <si>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</si>
  <si>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</si>
  <si>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</si>
  <si>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</si>
  <si>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</si>
  <si>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</si>
  <si>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</si>
  <si>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</si>
  <si>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</si>
  <si>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</si>
  <si>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</si>
  <si>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</si>
  <si>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</si>
  <si>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</si>
  <si>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</si>
  <si>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</si>
  <si>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</si>
  <si>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</si>
  <si>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</si>
  <si>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</si>
  <si>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</si>
  <si>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</si>
  <si>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</si>
  <si>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</si>
  <si>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</si>
  <si>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</si>
  <si>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</si>
  <si>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</si>
  <si>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</si>
  <si>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</si>
  <si>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</si>
  <si>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</si>
  <si>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</si>
  <si>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</si>
  <si>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</si>
  <si>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</si>
  <si>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</si>
  <si>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</si>
  <si>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</si>
  <si>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</si>
  <si>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</si>
  <si>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</si>
  <si>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</si>
  <si>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</si>
  <si>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</si>
  <si>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</si>
  <si>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</si>
  <si>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</si>
  <si>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</si>
  <si>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</si>
  <si>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</si>
  <si>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</si>
  <si>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</si>
  <si>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</si>
  <si>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</si>
  <si>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</si>
  <si>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</si>
  <si>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</si>
  <si>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</si>
  <si>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</si>
  <si>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</si>
  <si>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</si>
  <si>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</si>
  <si>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</si>
  <si>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</si>
  <si>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</si>
  <si>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</si>
  <si>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</si>
  <si>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</si>
  <si>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</si>
  <si>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</si>
  <si>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</si>
  <si>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</si>
  <si>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</si>
  <si>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</si>
  <si>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</si>
  <si>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</si>
  <si>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</si>
  <si>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</si>
  <si>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</si>
  <si>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</si>
  <si>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</si>
  <si>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</si>
  <si>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</si>
  <si>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</si>
  <si>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</si>
  <si>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</si>
  <si>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</si>
  <si>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</si>
  <si>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</si>
  <si>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</si>
  <si>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</si>
  <si>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</si>
  <si>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</si>
  <si>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</si>
  <si>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</si>
  <si>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</si>
  <si>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</si>
  <si>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</si>
  <si>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</si>
  <si>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</si>
  <si>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</si>
  <si>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</si>
  <si>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</si>
  <si>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</si>
  <si>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</si>
  <si>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</si>
  <si>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</si>
  <si>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</si>
  <si>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</si>
  <si>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</si>
  <si>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</si>
  <si>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</si>
  <si>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</si>
  <si>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</si>
  <si>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</si>
  <si>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</si>
  <si>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</si>
  <si>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</si>
  <si>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</si>
  <si>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</si>
  <si>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</si>
  <si>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</si>
  <si>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</si>
  <si>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</si>
  <si>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</si>
  <si>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</si>
  <si>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</si>
  <si>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</si>
  <si>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</si>
  <si>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</si>
  <si>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</si>
  <si>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</si>
  <si>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</si>
  <si>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</si>
  <si>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</si>
  <si>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</si>
  <si>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</si>
  <si>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</si>
  <si>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</si>
  <si>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</si>
  <si>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</si>
  <si>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</si>
  <si>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</si>
  <si>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</si>
  <si>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</si>
  <si>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</si>
  <si>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</si>
  <si>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</si>
  <si>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</si>
  <si>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</si>
  <si>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</si>
  <si>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</si>
  <si>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</si>
  <si>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</si>
  <si>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</si>
  <si>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</si>
  <si>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</si>
  <si>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</si>
  <si>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</si>
  <si>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</si>
  <si>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</si>
  <si>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</si>
  <si>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</si>
  <si>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</si>
  <si>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</si>
  <si>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</si>
  <si>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</si>
  <si>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</si>
  <si>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</si>
  <si>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</si>
  <si>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</si>
  <si>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</si>
  <si>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</si>
  <si>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</si>
  <si>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</si>
  <si>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</si>
  <si>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</si>
  <si>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</si>
  <si>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</si>
  <si>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</si>
  <si>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</si>
  <si>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</si>
  <si>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</si>
  <si>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</si>
  <si>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</si>
  <si>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</si>
  <si>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</si>
  <si>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</si>
  <si>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</si>
  <si>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</si>
  <si>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</si>
  <si>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</si>
  <si>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</si>
  <si>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</si>
  <si>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</si>
  <si>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</si>
  <si>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</si>
  <si>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</si>
  <si>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</si>
  <si>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</si>
  <si>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</si>
  <si>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</si>
  <si>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</si>
  <si>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</si>
  <si>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</si>
  <si>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</si>
  <si>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</si>
  <si>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</si>
  <si>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</si>
  <si>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</si>
  <si>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</si>
  <si>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</si>
  <si>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</si>
  <si>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</si>
  <si>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</si>
  <si>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</si>
  <si>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</si>
  <si>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</si>
  <si>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</si>
  <si>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</si>
  <si>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</si>
  <si>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</si>
  <si>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</si>
  <si>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</si>
  <si>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</si>
  <si>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</si>
  <si>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</si>
  <si>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</si>
  <si>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</si>
  <si>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</si>
  <si>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</si>
  <si>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</si>
  <si>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</si>
  <si>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</si>
  <si>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</si>
  <si>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</si>
  <si>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</si>
  <si>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</si>
  <si>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</si>
  <si>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</si>
  <si>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</si>
  <si>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</si>
  <si>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</si>
  <si>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</si>
  <si>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</si>
  <si>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</si>
  <si>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</si>
  <si>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</si>
  <si>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</si>
  <si>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</si>
  <si>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</si>
  <si>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</si>
  <si>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</si>
  <si>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</si>
  <si>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</si>
  <si>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</si>
  <si>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</si>
  <si>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</si>
  <si>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</si>
  <si>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</si>
  <si>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</si>
  <si>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</si>
  <si>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</si>
  <si>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</si>
  <si>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</si>
  <si>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</si>
  <si>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</si>
  <si>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</si>
  <si>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</si>
  <si>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</si>
  <si>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</si>
  <si>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</si>
  <si>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</si>
  <si>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</si>
  <si>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</si>
  <si>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</si>
  <si>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</si>
  <si>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</si>
  <si>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</si>
  <si>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</si>
  <si>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</si>
  <si>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</si>
  <si>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</si>
  <si>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</si>
  <si>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</si>
  <si>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</si>
  <si>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</si>
  <si>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</si>
  <si>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</si>
  <si>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</si>
  <si>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</si>
  <si>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</si>
  <si>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</si>
  <si>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</si>
  <si>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</si>
  <si>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</si>
  <si>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</si>
  <si>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</si>
  <si>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</si>
  <si>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</si>
  <si>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</si>
  <si>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</si>
  <si>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</si>
  <si>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</si>
  <si>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</si>
  <si>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</si>
  <si>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</si>
  <si>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</si>
  <si>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</si>
  <si>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</si>
  <si>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</si>
  <si>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</si>
  <si>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</si>
  <si>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</si>
  <si>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</si>
  <si>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</si>
  <si>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</si>
  <si>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</si>
  <si>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</si>
  <si>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</si>
  <si>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</si>
  <si>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</si>
  <si>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</si>
  <si>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</si>
  <si>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</si>
  <si>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</si>
  <si>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</si>
  <si>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</si>
  <si>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</si>
  <si>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</si>
  <si>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</si>
  <si>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</si>
  <si>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</si>
  <si>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</si>
  <si>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</si>
  <si>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</si>
  <si>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</si>
  <si>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</si>
  <si>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</si>
  <si>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</si>
  <si>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</si>
  <si>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</si>
  <si>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</si>
  <si>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</si>
  <si>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</si>
  <si>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</si>
  <si>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</si>
  <si>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</si>
  <si>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</si>
  <si>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</si>
  <si>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</si>
  <si>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</si>
  <si>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</si>
  <si>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</si>
  <si>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</si>
  <si>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</si>
  <si>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</si>
  <si>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</si>
  <si>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</si>
  <si>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</si>
  <si>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</si>
  <si>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</si>
  <si>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</si>
  <si>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</si>
  <si>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</si>
  <si>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</si>
  <si>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</si>
  <si>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</si>
  <si>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</si>
  <si>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</si>
  <si>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</si>
  <si>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</si>
  <si>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</si>
  <si>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</si>
  <si>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</si>
  <si>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</si>
  <si>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</si>
  <si>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</si>
  <si>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</si>
  <si>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</si>
  <si>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</si>
  <si>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</si>
  <si>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</si>
  <si>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</si>
  <si>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</si>
  <si>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</si>
  <si>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</si>
  <si>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</si>
  <si>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</si>
  <si>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</si>
  <si>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</si>
  <si>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</si>
  <si>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</si>
  <si>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</si>
  <si>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</si>
  <si>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</si>
  <si>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</si>
  <si>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</si>
  <si>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</si>
  <si>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</si>
  <si>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</si>
  <si>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</si>
  <si>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</si>
  <si>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</si>
  <si>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</si>
  <si>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</si>
  <si>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</si>
  <si>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</si>
  <si>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</si>
  <si>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</si>
  <si>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</si>
  <si>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</si>
  <si>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</si>
  <si>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</si>
  <si>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</si>
  <si>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</si>
  <si>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</si>
  <si>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</si>
  <si>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</si>
  <si>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</si>
  <si>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</si>
  <si>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</si>
  <si>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</si>
  <si>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</si>
  <si>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</si>
  <si>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</si>
  <si>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</si>
  <si>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</si>
  <si>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</si>
  <si>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</si>
  <si>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</si>
  <si>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</si>
  <si>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</si>
  <si>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</si>
  <si>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</si>
  <si>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</si>
  <si>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</si>
  <si>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</si>
  <si>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</si>
  <si>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</si>
  <si>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</si>
  <si>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</si>
  <si>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</si>
  <si>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</si>
  <si>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</si>
  <si>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</si>
  <si>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</si>
  <si>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</si>
  <si>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</si>
  <si>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</si>
  <si>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</si>
  <si>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</si>
  <si>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</si>
  <si>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</si>
  <si>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</si>
  <si>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</si>
  <si>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</si>
  <si>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</si>
  <si>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</si>
  <si>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</si>
  <si>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</si>
  <si>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</si>
  <si>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</si>
  <si>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</si>
  <si>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</si>
  <si>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</si>
  <si>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</si>
  <si>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</si>
  <si>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</si>
  <si>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</si>
  <si>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</si>
  <si>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</si>
  <si>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</si>
  <si>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</si>
  <si>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</si>
  <si>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</si>
  <si>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</si>
  <si>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</si>
  <si>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</si>
  <si>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</si>
  <si>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</si>
  <si>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</si>
  <si>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</si>
  <si>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</si>
  <si>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</si>
  <si>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</si>
  <si>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</si>
  <si>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</si>
  <si>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</si>
  <si>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</si>
  <si>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</si>
  <si>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</si>
  <si>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</si>
  <si>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</si>
  <si>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</si>
  <si>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</si>
  <si>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</si>
  <si>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</si>
  <si>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</si>
  <si>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</si>
  <si>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</si>
  <si>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</si>
  <si>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</si>
  <si>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</si>
  <si>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</si>
  <si>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</si>
  <si>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</si>
  <si>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</si>
  <si>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</si>
  <si>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</si>
  <si>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</si>
  <si>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</si>
  <si>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</si>
  <si>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</si>
  <si>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</si>
  <si>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</si>
  <si>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</si>
  <si>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</si>
  <si>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</si>
  <si>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</si>
  <si>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</si>
  <si>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</si>
  <si>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</si>
  <si>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</si>
  <si>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</si>
  <si>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</si>
  <si>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</si>
  <si>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</si>
  <si>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</si>
  <si>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</si>
  <si>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</si>
  <si>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</si>
  <si>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</si>
  <si>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</si>
  <si>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</si>
  <si>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</si>
  <si>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</si>
  <si>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</si>
  <si>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</si>
  <si>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</si>
  <si>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</si>
  <si>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</si>
  <si>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</si>
  <si>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</si>
  <si>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</si>
  <si>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</si>
  <si>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</si>
  <si>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</si>
  <si>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</si>
  <si>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</si>
  <si>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</si>
  <si>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</si>
  <si>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</si>
  <si>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</si>
  <si>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</si>
  <si>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</si>
  <si>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</si>
  <si>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</si>
  <si>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</si>
  <si>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</si>
  <si>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</si>
  <si>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</si>
  <si>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</si>
  <si>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</si>
  <si>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</si>
  <si>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</si>
  <si>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</si>
  <si>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</si>
  <si>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</si>
  <si>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</si>
  <si>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</si>
  <si>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</si>
  <si>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</si>
  <si>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</si>
  <si>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</si>
  <si>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</si>
  <si>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</si>
  <si>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</si>
  <si>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</si>
  <si>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</si>
  <si>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</si>
  <si>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</si>
  <si>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</si>
  <si>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</si>
  <si>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</si>
  <si>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</si>
  <si>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</si>
  <si>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</si>
  <si>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</si>
  <si>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</si>
  <si>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</si>
  <si>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</si>
  <si>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</si>
  <si>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</si>
  <si>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</si>
  <si>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</si>
  <si>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</si>
  <si>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</si>
  <si>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</si>
  <si>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</si>
  <si>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</si>
  <si>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</si>
  <si>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</si>
  <si>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</si>
  <si>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</si>
  <si>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</si>
  <si>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</si>
  <si>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</si>
  <si>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</si>
  <si>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</si>
  <si>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</si>
  <si>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</si>
  <si>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</si>
  <si>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</si>
  <si>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</si>
  <si>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</si>
  <si>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</si>
  <si>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</si>
  <si>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</si>
  <si>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</si>
  <si>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</si>
  <si>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</si>
  <si>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</si>
  <si>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</si>
  <si>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</si>
  <si>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</si>
  <si>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</si>
  <si>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</si>
  <si>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</si>
  <si>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</si>
  <si>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</si>
  <si>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</si>
  <si>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</si>
  <si>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</si>
  <si>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</si>
  <si>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</si>
  <si>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</si>
  <si>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</si>
  <si>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</si>
  <si>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</si>
  <si>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</si>
  <si>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</si>
  <si>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</si>
  <si>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</si>
  <si>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</si>
  <si>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</si>
  <si>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</si>
  <si>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</si>
  <si>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</si>
  <si>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</si>
  <si>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</si>
  <si>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</si>
  <si>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</si>
  <si>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</si>
  <si>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</si>
  <si>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</si>
  <si>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</si>
  <si>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</si>
  <si>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</si>
  <si>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</si>
  <si>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</si>
  <si>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</si>
  <si>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</si>
  <si>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</si>
  <si>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</si>
  <si>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</si>
  <si>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</si>
  <si>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</si>
  <si>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</si>
  <si>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</si>
  <si>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</si>
  <si>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</si>
  <si>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</si>
  <si>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</si>
  <si>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</si>
  <si>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</si>
  <si>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</si>
  <si>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</si>
  <si>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</si>
  <si>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</si>
  <si>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</si>
  <si>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</si>
  <si>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</si>
  <si>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</si>
  <si>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</si>
  <si>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</si>
  <si>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</si>
  <si>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</si>
  <si>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</si>
  <si>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</si>
  <si>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</si>
  <si>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</si>
  <si>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</si>
  <si>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</si>
  <si>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</si>
  <si>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</si>
  <si>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</si>
  <si>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</si>
  <si>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</si>
  <si>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</si>
  <si>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</si>
  <si>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</si>
  <si>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</si>
  <si>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</si>
  <si>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</si>
  <si>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</si>
  <si>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</si>
  <si>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</si>
  <si>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</si>
  <si>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</si>
  <si>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</si>
  <si>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</si>
  <si>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</si>
  <si>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</si>
  <si>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</si>
  <si>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</si>
  <si>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</si>
  <si>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</si>
  <si>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</si>
  <si>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</si>
  <si>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</si>
  <si>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</si>
  <si>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</si>
  <si>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</si>
  <si>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</si>
  <si>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</si>
  <si>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</si>
  <si>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</si>
  <si>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</si>
  <si>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</si>
  <si>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</si>
  <si>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</si>
  <si>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</si>
  <si>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</si>
  <si>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</si>
  <si>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</si>
  <si>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</si>
  <si>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</si>
  <si>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</si>
  <si>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</si>
  <si>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</si>
  <si>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</si>
  <si>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</si>
  <si>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</si>
  <si>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</si>
  <si>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</si>
  <si>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</si>
  <si>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</si>
  <si>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</si>
  <si>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</si>
  <si>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</si>
  <si>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</si>
  <si>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</si>
  <si>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</si>
  <si>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</si>
  <si>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</si>
  <si>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</si>
  <si>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</si>
  <si>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</si>
  <si>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</si>
  <si>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</si>
  <si>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</si>
  <si>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</si>
  <si>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</si>
  <si>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</si>
  <si>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</si>
  <si>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</si>
  <si>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</si>
  <si>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</si>
  <si>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</si>
  <si>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</si>
  <si>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</si>
  <si>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</si>
  <si>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</si>
  <si>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</si>
  <si>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</si>
  <si>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</si>
  <si>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</si>
  <si>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</si>
  <si>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</si>
  <si>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</si>
  <si>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</si>
  <si>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</si>
  <si>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</si>
  <si>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</si>
  <si>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</si>
  <si>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</si>
  <si>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</si>
  <si>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</si>
  <si>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</si>
  <si>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</si>
  <si>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</si>
  <si>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</si>
  <si>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</si>
  <si>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</si>
  <si>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</si>
  <si>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</si>
  <si>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</si>
  <si>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</si>
  <si>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</si>
  <si>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</si>
  <si>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</si>
  <si>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</si>
  <si>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</si>
  <si>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</si>
  <si>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</si>
  <si>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</si>
  <si>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</si>
  <si>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</si>
  <si>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</si>
  <si>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</si>
  <si>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</si>
  <si>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</si>
  <si>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</si>
  <si>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</si>
  <si>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</si>
  <si>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</si>
  <si>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</si>
  <si>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</si>
  <si>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</si>
  <si>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</si>
  <si>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</si>
  <si>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</si>
  <si>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</si>
  <si>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</si>
  <si>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</si>
  <si>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</si>
  <si>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</si>
  <si>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</si>
  <si>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</si>
  <si>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</si>
  <si>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</si>
  <si>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</si>
  <si>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</si>
  <si>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</si>
  <si>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</si>
  <si>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</si>
  <si>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</si>
  <si>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</si>
  <si>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</si>
  <si>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</si>
  <si>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</si>
  <si>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</si>
  <si>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</si>
  <si>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</si>
  <si>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</si>
  <si>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</si>
  <si>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</si>
  <si>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</si>
  <si>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</si>
  <si>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</si>
  <si>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</si>
  <si>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</si>
  <si>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</si>
  <si>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</si>
  <si>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</si>
  <si>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</si>
  <si>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</si>
  <si>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</si>
  <si>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</si>
  <si>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</si>
  <si>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</si>
  <si>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</si>
  <si>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</si>
  <si>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</si>
  <si>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</si>
  <si>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</si>
  <si>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</si>
  <si>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</si>
  <si>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</si>
  <si>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</si>
  <si>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</si>
  <si>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</si>
  <si>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</si>
  <si>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</si>
  <si>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</si>
  <si>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</si>
  <si>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</si>
  <si>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</si>
  <si>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</si>
  <si>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</si>
  <si>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</si>
  <si>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</si>
  <si>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</si>
  <si>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</si>
  <si>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</si>
  <si>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</si>
  <si>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</si>
  <si>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</si>
  <si>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</si>
  <si>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</si>
  <si>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</si>
  <si>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</si>
  <si>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</si>
  <si>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</si>
  <si>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</si>
  <si>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</si>
  <si>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</si>
  <si>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</si>
  <si>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</si>
  <si>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</si>
  <si>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</si>
  <si>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</si>
  <si>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</si>
  <si>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</si>
  <si>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</si>
  <si>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</si>
  <si>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</si>
  <si>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</si>
  <si>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</si>
  <si>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</si>
  <si>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</si>
  <si>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</si>
  <si>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</si>
  <si>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</si>
  <si>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</si>
  <si>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</si>
  <si>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</si>
  <si>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</si>
  <si>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</si>
  <si>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</si>
  <si>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</si>
  <si>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</si>
  <si>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</si>
  <si>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</si>
  <si>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</si>
  <si>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</si>
  <si>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</si>
  <si>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</si>
  <si>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</si>
  <si>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</si>
  <si>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</si>
  <si>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</si>
  <si>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</si>
  <si>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</si>
  <si>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</si>
  <si>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</si>
  <si>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</si>
  <si>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</si>
  <si>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</si>
  <si>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</si>
  <si>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</si>
  <si>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</si>
  <si>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</si>
  <si>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</si>
  <si>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</si>
  <si>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</si>
  <si>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</si>
  <si>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</si>
  <si>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</si>
  <si>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</si>
  <si>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</si>
  <si>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</si>
  <si>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</si>
  <si>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</si>
  <si>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</si>
  <si>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</si>
  <si>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</si>
  <si>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</si>
  <si>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</si>
  <si>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</si>
  <si>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</si>
  <si>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</si>
  <si>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</si>
  <si>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</si>
  <si>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</si>
  <si>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</si>
  <si>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</si>
  <si>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</si>
  <si>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</si>
  <si>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</si>
  <si>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</si>
  <si>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</si>
  <si>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</si>
  <si>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</si>
  <si>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</si>
  <si>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</si>
  <si>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</si>
  <si>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</si>
  <si>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</si>
  <si>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</si>
  <si>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</si>
  <si>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</si>
  <si>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</si>
  <si>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</si>
  <si>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</si>
  <si>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</si>
  <si>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</si>
  <si>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</si>
  <si>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</si>
  <si>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</si>
  <si>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</si>
  <si>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</si>
  <si>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</si>
  <si>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</si>
  <si>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</si>
  <si>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</si>
  <si>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</si>
  <si>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</si>
  <si>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</si>
  <si>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</si>
  <si>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</si>
  <si>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</si>
  <si>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</si>
  <si>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</si>
  <si>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</si>
  <si>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</si>
  <si>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</si>
  <si>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</si>
  <si>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</si>
  <si>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</si>
  <si>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</si>
  <si>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</si>
  <si>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</si>
  <si>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</si>
  <si>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</si>
  <si>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</si>
  <si>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</si>
  <si>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</si>
  <si>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</si>
  <si>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</si>
  <si>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</si>
  <si>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</si>
  <si>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</si>
  <si>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</si>
  <si>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</si>
  <si>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</si>
  <si>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</si>
  <si>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</si>
  <si>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</si>
  <si>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</si>
  <si>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</si>
  <si>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</si>
  <si>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</si>
  <si>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</si>
  <si>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</si>
  <si>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</si>
  <si>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</si>
  <si>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</si>
  <si>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</si>
  <si>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</si>
  <si>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</si>
  <si>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</si>
  <si>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</si>
  <si>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</si>
  <si>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</si>
  <si>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</si>
  <si>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</si>
  <si>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</si>
  <si>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</si>
  <si>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</si>
  <si>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</si>
  <si>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</si>
  <si>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</si>
  <si>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</si>
  <si>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</si>
  <si>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</si>
  <si>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</si>
  <si>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</si>
  <si>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</si>
  <si>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</si>
  <si>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</si>
  <si>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</si>
  <si>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</si>
  <si>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</si>
  <si>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</si>
  <si>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</si>
  <si>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</si>
  <si>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</si>
  <si>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</si>
  <si>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</si>
  <si>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</si>
  <si>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</si>
  <si>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</si>
  <si>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</si>
  <si>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</si>
  <si>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</si>
  <si>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</si>
  <si>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</si>
  <si>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</si>
  <si>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</si>
  <si>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</si>
  <si>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</si>
  <si>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</si>
  <si>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</si>
  <si>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</si>
  <si>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</si>
  <si>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</si>
  <si>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</si>
  <si>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</si>
  <si>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</si>
  <si>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</si>
  <si>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</si>
  <si>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</si>
  <si>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</si>
  <si>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</si>
  <si>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</si>
  <si>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</si>
  <si>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</si>
  <si>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</si>
  <si>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</si>
  <si>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</si>
  <si>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</si>
  <si>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</si>
  <si>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</si>
  <si>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</si>
  <si>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</si>
  <si>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</si>
  <si>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</si>
  <si>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</si>
  <si>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</si>
  <si>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</si>
  <si>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</si>
  <si>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</si>
  <si>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</si>
  <si>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</si>
  <si>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</si>
  <si>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</si>
  <si>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</si>
  <si>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</si>
  <si>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</si>
  <si>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</si>
  <si>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</si>
  <si>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</si>
  <si>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</si>
  <si>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</si>
  <si>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</si>
  <si>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</si>
  <si>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</si>
  <si>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</si>
  <si>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</si>
  <si>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</si>
  <si>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</si>
  <si>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</si>
  <si>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</si>
  <si>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</si>
  <si>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</si>
  <si>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</si>
  <si>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</si>
  <si>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</si>
  <si>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</si>
  <si>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</si>
  <si>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</si>
  <si>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</si>
  <si>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</si>
  <si>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</si>
  <si>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</si>
  <si>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</si>
  <si>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</si>
  <si>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</si>
  <si>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</si>
  <si>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</si>
  <si>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</si>
  <si>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</si>
  <si>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</si>
  <si>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</si>
  <si>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</si>
  <si>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</si>
  <si>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</si>
  <si>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</si>
  <si>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</si>
  <si>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</si>
  <si>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</si>
  <si>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</si>
  <si>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</si>
  <si>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</si>
  <si>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</si>
  <si>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</si>
  <si>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</si>
  <si>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</si>
  <si>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</si>
  <si>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</si>
  <si>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</si>
  <si>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</si>
  <si>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</si>
  <si>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</si>
  <si>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</si>
  <si>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</si>
  <si>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</si>
  <si>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</si>
  <si>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</si>
  <si>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</si>
  <si>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</si>
  <si>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</si>
  <si>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</si>
  <si>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</si>
  <si>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</si>
  <si>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</si>
  <si>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</si>
  <si>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</si>
  <si>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</si>
  <si>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</si>
  <si>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</si>
  <si>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</si>
  <si>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</si>
  <si>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</si>
  <si>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</si>
  <si>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</si>
  <si>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</si>
  <si>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</si>
  <si>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</si>
  <si>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</si>
  <si>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</si>
  <si>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</si>
  <si>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</si>
  <si>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</si>
  <si>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</si>
  <si>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</si>
  <si>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</si>
  <si>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</si>
  <si>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</si>
  <si>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</si>
  <si>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</si>
  <si>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</si>
  <si>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</si>
  <si>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</si>
  <si>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</si>
  <si>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</si>
  <si>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</si>
  <si>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</si>
  <si>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</si>
  <si>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</si>
  <si>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</si>
  <si>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</si>
  <si>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</si>
  <si>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</si>
  <si>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</si>
  <si>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</si>
  <si>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</si>
  <si>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</si>
  <si>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</si>
  <si>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</si>
  <si>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</si>
  <si>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</si>
  <si>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</si>
  <si>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</si>
  <si>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</si>
  <si>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</si>
  <si>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</si>
  <si>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</si>
  <si>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</si>
  <si>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</si>
  <si>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</si>
  <si>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</si>
  <si>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</si>
  <si>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</si>
  <si>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</si>
  <si>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</si>
  <si>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</si>
  <si>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</si>
  <si>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</si>
  <si>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</si>
  <si>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</si>
  <si>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</si>
  <si>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</si>
  <si>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</si>
  <si>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</si>
  <si>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</si>
  <si>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</si>
  <si>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</si>
  <si>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</si>
  <si>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</si>
  <si>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</si>
  <si>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</si>
  <si>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</si>
  <si>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</si>
  <si>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</si>
  <si>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</si>
  <si>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</si>
  <si>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</si>
  <si>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</si>
  <si>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</si>
  <si>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</si>
  <si>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</si>
  <si>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</si>
  <si>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</si>
  <si>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</si>
  <si>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</si>
  <si>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</si>
  <si>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</si>
  <si>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</si>
  <si>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</si>
  <si>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</si>
  <si>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</si>
  <si>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</si>
  <si>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</si>
  <si>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</si>
  <si>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</si>
  <si>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</si>
  <si>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</si>
  <si>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</si>
  <si>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</si>
  <si>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</si>
  <si>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</si>
  <si>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</si>
  <si>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</si>
  <si>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</si>
  <si>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</si>
  <si>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</si>
  <si>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</si>
  <si>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</si>
  <si>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</si>
  <si>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</si>
  <si>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</si>
  <si>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</si>
  <si>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</si>
  <si>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</si>
  <si>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</si>
  <si>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</si>
  <si>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</si>
  <si>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</si>
  <si>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</si>
  <si>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</si>
  <si>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</si>
  <si>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</si>
  <si>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</si>
  <si>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</si>
  <si>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</si>
  <si>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</si>
  <si>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</si>
  <si>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</si>
  <si>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</si>
  <si>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</si>
  <si>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</si>
  <si>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</si>
  <si>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</si>
  <si>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</si>
  <si>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</si>
  <si>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</si>
  <si>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</si>
  <si>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</si>
  <si>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</si>
  <si>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</si>
  <si>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</si>
  <si>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</si>
  <si>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</si>
  <si>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</si>
  <si>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</si>
  <si>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</si>
  <si>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</si>
  <si>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</si>
  <si>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</si>
  <si>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</si>
  <si>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</si>
  <si>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</si>
  <si>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</si>
  <si>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</si>
  <si>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</si>
  <si>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</si>
  <si>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</si>
  <si>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</si>
  <si>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</si>
  <si>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</si>
  <si>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</si>
  <si>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</si>
  <si>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</si>
  <si>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</si>
  <si>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</si>
  <si>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</si>
  <si>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</si>
  <si>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</si>
  <si>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</si>
  <si>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</si>
  <si>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</si>
  <si>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</si>
  <si>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</si>
  <si>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</si>
  <si>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</si>
  <si>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</si>
  <si>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</si>
  <si>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</si>
  <si>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</si>
  <si>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</si>
  <si>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</si>
  <si>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</si>
  <si>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</si>
  <si>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</si>
  <si>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</si>
  <si>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</si>
  <si>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</si>
  <si>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</si>
  <si>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</si>
  <si>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</si>
  <si>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</si>
  <si>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</si>
  <si>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</si>
  <si>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</si>
  <si>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</si>
  <si>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</si>
  <si>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</si>
  <si>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</si>
  <si>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</si>
  <si>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</si>
  <si>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</si>
  <si>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</si>
  <si>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</si>
  <si>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</si>
  <si>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</si>
  <si>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</si>
  <si>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</si>
  <si>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</si>
  <si>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</si>
  <si>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</si>
  <si>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</si>
  <si>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</si>
  <si>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</si>
  <si>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</si>
  <si>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</si>
  <si>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</si>
  <si>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</si>
  <si>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</si>
  <si>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</si>
  <si>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</si>
  <si>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</si>
  <si>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</si>
  <si>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</si>
  <si>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</si>
  <si>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</si>
  <si>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</si>
  <si>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</si>
  <si>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</si>
  <si>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</si>
  <si>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</si>
  <si>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</si>
  <si>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</si>
  <si>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</si>
  <si>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</si>
  <si>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</si>
  <si>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</si>
  <si>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</si>
  <si>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</si>
  <si>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</si>
  <si>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</si>
  <si>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</si>
  <si>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</si>
  <si>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</si>
  <si>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</si>
  <si>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</si>
  <si>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</si>
  <si>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</si>
  <si>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</si>
  <si>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</si>
  <si>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</si>
  <si>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</si>
  <si>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</si>
  <si>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</si>
  <si>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</si>
  <si>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</si>
  <si>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</si>
  <si>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</si>
  <si>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</si>
  <si>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</si>
  <si>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</si>
  <si>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</si>
  <si>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</si>
  <si>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</si>
  <si>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</si>
  <si>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</si>
  <si>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</si>
  <si>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</si>
  <si>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</si>
  <si>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</si>
  <si>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</si>
  <si>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</si>
  <si>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</si>
  <si>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</si>
  <si>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</si>
  <si>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</si>
  <si>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</si>
  <si>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</si>
  <si>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</si>
  <si>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</si>
  <si>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</si>
  <si>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</si>
  <si>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</si>
  <si>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</si>
  <si>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</si>
  <si>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</si>
  <si>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</si>
  <si>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</si>
  <si>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</si>
  <si>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</si>
  <si>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</si>
  <si>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</si>
  <si>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</si>
  <si>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</si>
  <si>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</si>
  <si>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</si>
  <si>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</si>
  <si>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</si>
  <si>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</si>
  <si>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</si>
  <si>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</si>
  <si>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</si>
  <si>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</si>
  <si>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</si>
  <si>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</si>
  <si>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</si>
  <si>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</si>
  <si>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</si>
  <si>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</si>
  <si>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</si>
  <si>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</si>
  <si>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</si>
  <si>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</si>
  <si>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</si>
  <si>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</si>
  <si>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</si>
  <si>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</si>
  <si>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</si>
  <si>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</si>
  <si>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</si>
  <si>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</si>
  <si>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</si>
  <si>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</si>
  <si>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</si>
  <si>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</si>
  <si>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</si>
  <si>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</si>
  <si>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</si>
  <si>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</si>
  <si>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</si>
  <si>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</si>
  <si>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</si>
  <si>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</si>
  <si>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</si>
  <si>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</si>
  <si>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</si>
  <si>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</si>
  <si>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</si>
  <si>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</si>
  <si>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</si>
  <si>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</si>
  <si>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</si>
  <si>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</si>
  <si>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</si>
  <si>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</si>
  <si>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</si>
  <si>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</si>
  <si>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</si>
  <si>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</si>
  <si>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</si>
  <si>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</si>
  <si>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</si>
  <si>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</si>
  <si>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</si>
  <si>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</si>
  <si>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</si>
  <si>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</si>
  <si>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</si>
  <si>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</si>
  <si>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</si>
  <si>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</si>
  <si>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</si>
  <si>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</si>
  <si>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</si>
  <si>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</si>
  <si>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</si>
  <si>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</si>
  <si>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</si>
  <si>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</si>
  <si>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</si>
  <si>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</si>
  <si>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</si>
  <si>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</si>
  <si>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</si>
  <si>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</si>
  <si>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</si>
  <si>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</si>
  <si>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</si>
  <si>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</si>
  <si>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</si>
  <si>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</si>
  <si>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</si>
  <si>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</si>
  <si>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</si>
  <si>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</si>
  <si>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</si>
  <si>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</si>
  <si>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</si>
  <si>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</si>
  <si>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</si>
  <si>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</si>
  <si>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</si>
  <si>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</si>
  <si>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</si>
  <si>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</si>
  <si>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</si>
  <si>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</si>
  <si>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</si>
  <si>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</si>
  <si>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</si>
  <si>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</si>
  <si>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</si>
  <si>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</si>
  <si>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</si>
  <si>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</si>
  <si>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</si>
  <si>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</si>
  <si>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</si>
  <si>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</si>
  <si>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</si>
  <si>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</si>
  <si>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</si>
  <si>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</si>
  <si>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</si>
  <si>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</si>
  <si>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</si>
  <si>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</si>
  <si>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</si>
  <si>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</si>
  <si>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</si>
  <si>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</si>
  <si>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</si>
  <si>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</si>
  <si>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</si>
  <si>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</si>
  <si>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</si>
  <si>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</si>
  <si>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</si>
  <si>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</si>
  <si>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</si>
  <si>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</si>
  <si>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</si>
  <si>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</si>
  <si>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</si>
  <si>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</si>
  <si>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</si>
  <si>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</si>
  <si>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</si>
  <si>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</si>
  <si>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</si>
  <si>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</si>
  <si>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</si>
  <si>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</si>
  <si>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</si>
  <si>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</si>
  <si>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</si>
  <si>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</si>
  <si>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</si>
  <si>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</si>
  <si>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</si>
  <si>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</si>
  <si>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</si>
  <si>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</si>
  <si>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</si>
  <si>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</si>
  <si>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</si>
  <si>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</si>
  <si>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</si>
  <si>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</si>
  <si>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</si>
  <si>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</si>
  <si>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</si>
  <si>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</si>
  <si>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</si>
  <si>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</si>
  <si>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</si>
  <si>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</si>
  <si>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</si>
  <si>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</si>
  <si>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</si>
  <si>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</si>
  <si>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</si>
  <si>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</si>
  <si>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</si>
  <si>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</si>
  <si>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</si>
  <si>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</si>
  <si>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</si>
  <si>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</si>
  <si>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</si>
  <si>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</si>
  <si>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</si>
  <si>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</si>
  <si>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</si>
  <si>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</si>
  <si>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</si>
  <si>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</si>
  <si>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</si>
  <si>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</si>
  <si>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</si>
  <si>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</si>
  <si>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</si>
  <si>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</si>
  <si>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</si>
  <si>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</si>
  <si>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</si>
  <si>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</si>
  <si>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</si>
  <si>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</si>
  <si>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</si>
  <si>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</si>
  <si>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</si>
  <si>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</si>
  <si>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</si>
  <si>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</si>
  <si>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</si>
  <si>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</si>
  <si>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</si>
  <si>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</si>
  <si>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</si>
  <si>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</si>
  <si>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</si>
  <si>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</si>
  <si>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</si>
  <si>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</si>
  <si>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</si>
  <si>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</si>
  <si>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</si>
  <si>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</si>
  <si>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</si>
  <si>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</si>
  <si>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</si>
  <si>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</si>
  <si>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</si>
  <si>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</si>
  <si>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</si>
  <si>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</si>
  <si>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</si>
  <si>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</si>
  <si>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</si>
  <si>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</si>
  <si>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</si>
  <si>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</si>
  <si>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</si>
  <si>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</si>
  <si>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</si>
  <si>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</si>
  <si>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</si>
  <si>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</si>
  <si>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</si>
  <si>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</si>
  <si>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</si>
  <si>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</si>
  <si>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</si>
  <si>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</si>
  <si>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</si>
  <si>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</si>
  <si>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</si>
  <si>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</si>
  <si>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</si>
  <si>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</si>
  <si>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</si>
  <si>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</si>
  <si>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</si>
  <si>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</si>
  <si>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</si>
  <si>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</si>
  <si>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</si>
  <si>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</si>
  <si>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</si>
  <si>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</si>
  <si>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</si>
  <si>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</si>
  <si>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</si>
  <si>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</si>
  <si>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</si>
  <si>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</si>
  <si>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</si>
  <si>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</si>
  <si>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</si>
  <si>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</si>
  <si>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</si>
  <si>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</si>
  <si>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</si>
  <si>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</si>
  <si>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</si>
  <si>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</si>
  <si>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</si>
  <si>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</si>
  <si>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</si>
  <si>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</si>
  <si>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</si>
  <si>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</si>
  <si>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</si>
  <si>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</si>
  <si>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</si>
  <si>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</si>
  <si>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</si>
  <si>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</si>
  <si>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</si>
  <si>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</si>
  <si>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</si>
  <si>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</si>
  <si>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</si>
  <si>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</si>
  <si>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</si>
  <si>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</si>
  <si>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</si>
  <si>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</si>
  <si>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</si>
  <si>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</si>
  <si>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</si>
  <si>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</si>
  <si>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</si>
  <si>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</si>
  <si>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</si>
  <si>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</si>
  <si>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</si>
  <si>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</si>
  <si>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</si>
  <si>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</si>
  <si>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</si>
  <si>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</si>
  <si>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</si>
  <si>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</si>
  <si>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</si>
  <si>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</si>
  <si>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</si>
  <si>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</si>
  <si>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</si>
  <si>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</si>
  <si>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</si>
  <si>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</si>
  <si>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</si>
  <si>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</si>
  <si>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</si>
  <si>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</si>
  <si>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</si>
  <si>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</si>
  <si>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</si>
  <si>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</si>
  <si>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</si>
  <si>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</si>
  <si>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</si>
  <si>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</si>
  <si>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</si>
  <si>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</si>
  <si>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</si>
  <si>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</si>
  <si>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</si>
  <si>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</si>
  <si>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</si>
  <si>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</si>
  <si>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</si>
  <si>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</si>
  <si>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</si>
  <si>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</si>
  <si>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</si>
  <si>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</si>
  <si>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</si>
  <si>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</si>
  <si>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</si>
  <si>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</si>
  <si>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</si>
  <si>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</si>
  <si>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</si>
  <si>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</si>
  <si>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</si>
  <si>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</si>
  <si>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</si>
  <si>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</si>
  <si>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</si>
  <si>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</si>
  <si>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</si>
  <si>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</si>
  <si>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</si>
  <si>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</si>
  <si>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</si>
  <si>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</si>
  <si>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</si>
  <si>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</si>
  <si>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</si>
  <si>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</si>
  <si>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</si>
  <si>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</si>
  <si>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</si>
  <si>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</si>
  <si>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</si>
  <si>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</si>
  <si>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</si>
  <si>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</si>
  <si>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</si>
  <si>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</si>
  <si>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</si>
  <si>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</si>
  <si>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</si>
  <si>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</si>
  <si>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</si>
  <si>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</si>
  <si>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</si>
  <si>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</si>
  <si>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</si>
  <si>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</si>
  <si>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</si>
  <si>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</si>
  <si>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</si>
  <si>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</si>
  <si>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</si>
  <si>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</si>
  <si>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</si>
  <si>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</si>
  <si>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</si>
  <si>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</si>
  <si>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</si>
  <si>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</si>
  <si>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</si>
  <si>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</si>
  <si>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</si>
  <si>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</si>
  <si>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</si>
  <si>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</si>
  <si>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</si>
  <si>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</si>
  <si>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</si>
  <si>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</si>
  <si>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</si>
  <si>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</si>
  <si>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</si>
  <si>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</si>
  <si>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</si>
  <si>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</si>
  <si>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</si>
  <si>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</si>
  <si>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</si>
  <si>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</si>
  <si>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</si>
  <si>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</si>
  <si>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</si>
  <si>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</si>
  <si>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</si>
  <si>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</si>
  <si>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</si>
  <si>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</si>
  <si>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</si>
  <si>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</si>
  <si>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</si>
  <si>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</si>
  <si>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</si>
  <si>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</si>
  <si>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</si>
  <si>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</si>
  <si>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</si>
  <si>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</si>
  <si>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</si>
  <si>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</si>
  <si>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</si>
  <si>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</si>
  <si>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</si>
  <si>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</si>
  <si>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</si>
  <si>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</si>
  <si>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</si>
  <si>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</si>
  <si>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</si>
  <si>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</si>
  <si>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</si>
  <si>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</si>
  <si>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</si>
  <si>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</si>
  <si>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</si>
  <si>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</si>
  <si>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</si>
  <si>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</si>
  <si>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</si>
  <si>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</si>
  <si>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</si>
  <si>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</si>
  <si>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</si>
  <si>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</si>
  <si>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</si>
  <si>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</si>
  <si>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</si>
  <si>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</si>
  <si>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</si>
  <si>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</si>
  <si>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</si>
  <si>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</si>
  <si>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</si>
  <si>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</si>
  <si>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</si>
  <si>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</si>
  <si>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</si>
  <si>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</si>
  <si>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</si>
  <si>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</si>
  <si>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</si>
  <si>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</si>
  <si>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</si>
  <si>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</si>
  <si>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</si>
  <si>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</si>
  <si>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</si>
  <si>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</si>
  <si>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</si>
  <si>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</si>
  <si>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</si>
  <si>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</si>
  <si>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</si>
  <si>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</si>
  <si>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</si>
  <si>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</si>
  <si>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</si>
  <si>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</si>
  <si>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</si>
  <si>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</si>
  <si>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</si>
  <si>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</si>
  <si>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</si>
  <si>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</si>
  <si>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</si>
  <si>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</si>
  <si>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</si>
  <si>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</si>
  <si>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</si>
  <si>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</si>
  <si>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</si>
  <si>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</si>
  <si>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</si>
  <si>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</si>
  <si>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</si>
  <si>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</si>
  <si>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</si>
  <si>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</si>
  <si>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</si>
  <si>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</si>
  <si>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</si>
  <si>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</si>
  <si>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</si>
  <si>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</si>
  <si>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</si>
  <si>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</si>
  <si>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</si>
  <si>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</si>
  <si>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</si>
  <si>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</si>
  <si>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</si>
  <si>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</si>
  <si>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</si>
  <si>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</si>
  <si>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</si>
  <si>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</si>
  <si>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</si>
  <si>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</si>
  <si>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</si>
  <si>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</si>
  <si>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</si>
  <si>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</si>
  <si>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</si>
  <si>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</si>
  <si>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</si>
  <si>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</si>
  <si>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</si>
  <si>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</si>
  <si>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</si>
  <si>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</si>
  <si>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</si>
  <si>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</si>
  <si>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</si>
  <si>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</si>
  <si>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</si>
  <si>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</si>
  <si>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</si>
  <si>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</si>
  <si>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</si>
  <si>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</si>
  <si>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</si>
  <si>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</si>
  <si>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</si>
  <si>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</si>
  <si>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</si>
  <si>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</si>
  <si>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</si>
  <si>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</si>
  <si>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</si>
  <si>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</si>
  <si>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</si>
  <si>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</si>
  <si>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</si>
  <si>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</si>
  <si>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</si>
  <si>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</si>
  <si>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</si>
  <si>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</si>
  <si>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</si>
  <si>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</si>
  <si>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</si>
  <si>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</si>
  <si>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</si>
  <si>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</si>
  <si>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</si>
  <si>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</si>
  <si>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</si>
  <si>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</si>
  <si>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</si>
  <si>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</si>
  <si>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</si>
  <si>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</si>
  <si>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</si>
  <si>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</si>
  <si>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</si>
  <si>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</si>
  <si>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</si>
  <si>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</si>
  <si>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</si>
  <si>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</si>
  <si>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</si>
  <si>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</si>
  <si>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</si>
  <si>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</si>
  <si>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</si>
  <si>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</si>
  <si>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</si>
  <si>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</si>
  <si>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</si>
  <si>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</si>
  <si>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</si>
  <si>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</si>
  <si>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</si>
  <si>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</si>
  <si>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</si>
  <si>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</si>
  <si>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</si>
  <si>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</si>
  <si>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</si>
  <si>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</si>
  <si>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</si>
  <si>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</si>
  <si>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</si>
  <si>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</si>
  <si>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</si>
  <si>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</si>
  <si>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</si>
  <si>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</si>
  <si>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</si>
  <si>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</si>
  <si>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</si>
  <si>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</si>
  <si>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</si>
  <si>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</si>
  <si>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</si>
  <si>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</si>
  <si>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</si>
  <si>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</si>
  <si>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</si>
  <si>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</si>
  <si>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</si>
  <si>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</si>
  <si>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</si>
  <si>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</si>
  <si>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</si>
  <si>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</si>
  <si>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</si>
  <si>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</si>
  <si>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</si>
  <si>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</si>
  <si>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</si>
  <si>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</si>
  <si>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</si>
  <si>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</si>
  <si>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</si>
  <si>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</si>
  <si>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</si>
  <si>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</si>
  <si>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</si>
  <si>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</si>
  <si>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</si>
  <si>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</si>
  <si>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</si>
  <si>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</si>
  <si>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</si>
  <si>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建成年代</t>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</si>
  <si>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</si>
  <si>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</si>
  <si>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</si>
  <si>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</si>
  <si>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</si>
  <si>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</si>
  <si>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</si>
  <si>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</si>
  <si>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</si>
  <si>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1-2层</t>
  </si>
  <si>
    <t>钢混</t>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</si>
  <si>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r>
      <rPr>
        <sz val="11"/>
        <color indexed="8"/>
        <rFont val="Arial"/>
        <family val="2"/>
      </rPr>
      <t>-2</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</si>
  <si>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</si>
  <si>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多面临街</t>
    <phoneticPr fontId="30" type="noConversion"/>
  </si>
  <si>
    <t>双面临街</t>
    <phoneticPr fontId="30" type="noConversion"/>
  </si>
  <si>
    <t>单面临街</t>
  </si>
  <si>
    <t>单面临街</t>
    <phoneticPr fontId="30" type="noConversion"/>
  </si>
  <si>
    <t>不临街</t>
  </si>
  <si>
    <t>不临街</t>
    <phoneticPr fontId="30" type="noConversion"/>
  </si>
  <si>
    <t>楼面单价</t>
  </si>
  <si>
    <t>办公项目</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</si>
  <si>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</si>
  <si>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</si>
  <si>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</si>
  <si>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</si>
  <si>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</si>
  <si>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</si>
  <si>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低层</t>
    <phoneticPr fontId="31" type="noConversion"/>
  </si>
  <si>
    <t>中层</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</si>
  <si>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</si>
  <si>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</si>
  <si>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</si>
  <si>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</si>
  <si>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</si>
  <si>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</si>
  <si>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</si>
  <si>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</si>
  <si>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</si>
  <si>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</si>
  <si>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</si>
  <si>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</si>
  <si>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</si>
  <si>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</si>
  <si>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</si>
  <si>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</si>
  <si>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</si>
  <si>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</si>
  <si>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</si>
  <si>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</si>
  <si>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</si>
  <si>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</si>
  <si>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</si>
  <si>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</si>
  <si>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</si>
  <si>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</si>
  <si>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</si>
  <si>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</si>
  <si>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租金</t>
  </si>
  <si>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</si>
  <si>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</si>
  <si>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</si>
  <si>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</si>
  <si>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</si>
  <si>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</si>
  <si>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</si>
  <si>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</si>
  <si>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</si>
  <si>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</si>
  <si>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</si>
  <si>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</si>
  <si>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</si>
  <si>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</si>
  <si>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</si>
  <si>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</si>
  <si>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Ⅷ-密1</t>
  </si>
  <si>
    <t>中心城区以外</t>
  </si>
  <si>
    <t>成本法 (元)</t>
  </si>
  <si>
    <t>车站路商业</t>
    <phoneticPr fontId="134" type="noConversion"/>
  </si>
  <si>
    <t>《北京市财政局关于密云区城市基础设施建设费收费标准的函》[京发改[2016]1332号]</t>
    <phoneticPr fontId="3" type="noConversion"/>
  </si>
  <si>
    <t>宿舍、办公</t>
    <phoneticPr fontId="31" type="noConversion"/>
  </si>
  <si>
    <t>办公</t>
    <phoneticPr fontId="134" type="noConversion"/>
  </si>
  <si>
    <t>长城大厦</t>
    <phoneticPr fontId="134" type="noConversion"/>
  </si>
  <si>
    <t>鸿讯检测</t>
    <phoneticPr fontId="3" type="noConversion"/>
  </si>
  <si>
    <t>塔楼</t>
    <phoneticPr fontId="31" type="noConversion"/>
  </si>
  <si>
    <t>多层</t>
  </si>
  <si>
    <t>多层</t>
    <phoneticPr fontId="31" type="noConversion"/>
  </si>
  <si>
    <t>低层</t>
  </si>
  <si>
    <t>低层</t>
    <phoneticPr fontId="134" type="noConversion"/>
  </si>
  <si>
    <t>新南路43号</t>
    <phoneticPr fontId="31" type="noConversion"/>
  </si>
  <si>
    <t>兴盛南路13号</t>
    <phoneticPr fontId="134" type="noConversion"/>
  </si>
  <si>
    <t>较差</t>
  </si>
  <si>
    <t>新西路41号</t>
    <phoneticPr fontId="134" type="noConversion"/>
  </si>
  <si>
    <t>成本比率</t>
  </si>
  <si>
    <t>密云县车站路59号楼1至2层3商业综合用房</t>
    <phoneticPr fontId="6" type="noConversion"/>
  </si>
  <si>
    <t>自然人</t>
  </si>
  <si>
    <t>Ⅸ-密1</t>
  </si>
  <si>
    <t>1-2层商业</t>
  </si>
  <si>
    <t>1-2层商业</t>
    <phoneticPr fontId="7" type="noConversion"/>
  </si>
  <si>
    <t>车站路附近1-2层商铺，含物业费取暖，年租金18万，300平，不含税</t>
    <phoneticPr fontId="134" type="noConversion"/>
  </si>
  <si>
    <t>估价对象这栋楼，2005-2006年建成，1-2层，年租金14-15万，售价1-2层的2万出头</t>
    <phoneticPr fontId="134"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</si>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</sst>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79" fontId="47" fillId="12"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0" fontId="53" fillId="12" borderId="1" xfId="0"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95" fillId="0" borderId="0" xfId="0" applyFont="1">
      <alignment vertical="center"/>
    </xf>
    <xf numFmtId="0" fontId="128" fillId="12" borderId="0" xfId="0" applyFont="1" applyFill="1" applyAlignment="1" applyProtection="1">
      <alignment horizontal="center" vertical="center"/>
      <protection locked="0"/>
    </xf>
    <xf numFmtId="0" fontId="51" fillId="22" borderId="7" xfId="0" applyNumberFormat="1" applyFont="1" applyFill="1" applyBorder="1" applyAlignment="1" applyProtection="1">
      <alignment horizontal="center" vertical="center" wrapText="1"/>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11</xdr:col>
      <xdr:colOff>571500</xdr:colOff>
      <xdr:row>26</xdr:row>
      <xdr:rowOff>53973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115300" cy="3825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北京市密云县车站路59号楼1至2层3商业综合用房房地产抵押价值预评估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受贵公司委托，我公司对北京市密云县车站路59号楼1至2层3商业综合用房房地产抵押价值进行了预评估。</v>
      </c>
    </row>
    <row r="7" spans="1:2" s="1202" customFormat="1">
      <c r="A7" s="1200" t="s">
        <v>566</v>
      </c>
      <c r="B7" s="1201" t="str">
        <f>'预评函-1'!A7</f>
        <v>估价对象为北京市密云县车站路59号楼1至2层3商业综合用房房地产，为所有。根据《国有土地使用证》[]，估价对象（分摊）出让国有建设用地使用权面积为0平方米，建筑面积为174.21平方米。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密云县车站路59号楼1至2层3商业综合用房房地产,属开发建设的办公项目，该项目尚在开发建设中。根据《国有土地使用证》[]，估价对象（分摊）出让国有建设用地使用权面积为0平方米，规划建筑面积为174.21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密云县车站路59号楼1至2层3商业综合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2024年1月8日（评估专业人员实地查勘之日）</v>
      </c>
    </row>
    <row r="13" spans="1:2" s="1202" customFormat="1">
      <c r="A13" s="1200" t="s">
        <v>529</v>
      </c>
      <c r="B13" s="1201"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175</v>
      </c>
    </row>
    <row r="21" spans="1:2" s="1202" customFormat="1">
      <c r="A21" s="1200" t="s">
        <v>537</v>
      </c>
      <c r="B21" s="1201">
        <f ca="1">'预评函-2'!D7</f>
        <v>10020</v>
      </c>
    </row>
    <row r="22" spans="1:2" s="1202" customFormat="1">
      <c r="A22" s="1200" t="s">
        <v>538</v>
      </c>
      <c r="B22" s="1201" t="str">
        <f ca="1">'预评函-2'!D6</f>
        <v>壹佰柒拾伍万元整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175</v>
      </c>
    </row>
    <row r="31" spans="1:2" s="1202" customFormat="1">
      <c r="A31" s="1200" t="s">
        <v>576</v>
      </c>
      <c r="B31" s="1201">
        <f ca="1">'预评函-2'!D15</f>
        <v>10020</v>
      </c>
    </row>
    <row r="32" spans="1:2" s="1202" customFormat="1">
      <c r="A32" s="1200" t="s">
        <v>543</v>
      </c>
      <c r="B32" s="1201" t="str">
        <f ca="1">'预评函-2'!D14</f>
        <v>壹佰柒拾伍万元整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北京市密云县车站路59号楼1至2层3商业综合用房房地产</v>
      </c>
    </row>
    <row r="42" spans="1:2" s="1202" customFormat="1">
      <c r="A42" s="1200" t="s">
        <v>590</v>
      </c>
      <c r="B42" s="1201" t="str">
        <f>'预评函-3'!B2</f>
        <v>建筑面积</v>
      </c>
    </row>
    <row r="43" spans="1:2" s="1202" customFormat="1">
      <c r="A43" s="1200" t="s">
        <v>591</v>
      </c>
      <c r="B43" s="1201">
        <f>'预评函-3'!B4</f>
        <v>174.21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121</v>
      </c>
    </row>
    <row r="48" spans="1:2" s="1202" customFormat="1">
      <c r="A48" s="1200" t="s">
        <v>549</v>
      </c>
      <c r="B48" s="1201">
        <f ca="1">'预评函-3'!E4</f>
        <v>6964</v>
      </c>
    </row>
    <row r="49" spans="1:2" s="1202" customFormat="1">
      <c r="A49" s="1200" t="s">
        <v>550</v>
      </c>
      <c r="B49" s="1201" t="str">
        <f ca="1">'预评函-3'!D5</f>
        <v>壹佰贰拾壹万元整</v>
      </c>
    </row>
    <row r="50" spans="1:2" s="1202" customFormat="1">
      <c r="A50" s="1200" t="s">
        <v>574</v>
      </c>
      <c r="B50" s="1201" t="str">
        <f>'预评函-3'!F2</f>
        <v>在建建筑物价值</v>
      </c>
    </row>
    <row r="51" spans="1:2" s="1202" customFormat="1">
      <c r="A51" s="1200" t="s">
        <v>551</v>
      </c>
      <c r="B51" s="1201">
        <f ca="1">'预评函-3'!F4</f>
        <v>53</v>
      </c>
    </row>
    <row r="52" spans="1:2" s="1202" customFormat="1">
      <c r="A52" s="1200" t="s">
        <v>552</v>
      </c>
      <c r="B52" s="1201">
        <f ca="1">'预评函-3'!G4</f>
        <v>3056</v>
      </c>
    </row>
    <row r="53" spans="1:2" s="1202" customFormat="1">
      <c r="A53" s="1200" t="s">
        <v>580</v>
      </c>
      <c r="B53" s="1201" t="str">
        <f ca="1">'预评函-3'!F5</f>
        <v>伍拾叁万元整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3" sqref="B4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2580</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2581</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3417</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车站路59号楼1至2层3商业综合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53" t="s">
        <v>385</v>
      </c>
      <c r="C54" s="1550" t="s">
        <v>583</v>
      </c>
    </row>
    <row r="55" spans="1:4">
      <c r="A55" s="3547"/>
      <c r="B55" s="1553" t="s">
        <v>386</v>
      </c>
      <c r="C55" s="1550" t="s">
        <v>584</v>
      </c>
    </row>
    <row r="56" spans="1:4">
      <c r="A56" s="3547"/>
      <c r="B56" s="1553" t="s">
        <v>387</v>
      </c>
      <c r="C56" s="1550" t="s">
        <v>588</v>
      </c>
    </row>
    <row r="57" spans="1:4">
      <c r="A57" s="354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41" sqref="B41"/>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48" t="s">
        <v>2583</v>
      </c>
      <c r="J2" s="3548"/>
      <c r="K2" s="3548"/>
      <c r="L2" s="3548"/>
      <c r="M2" s="3548"/>
      <c r="N2" s="3548"/>
      <c r="O2" s="3548"/>
      <c r="P2" s="3548"/>
      <c r="Q2" s="3548"/>
      <c r="R2" s="3548"/>
    </row>
    <row r="3" spans="1:18">
      <c r="A3" s="3016" t="s">
        <v>2504</v>
      </c>
      <c r="B3" s="3017">
        <f>项目基本情况!D3</f>
        <v>45299</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2.94</v>
      </c>
      <c r="D5" s="3021">
        <f>IF(ISERROR(ROUND(POWER(1+E5,A5-C5)*(POWER(1+E5,C5)-1)/(POWER(1+E5,A5)-1),3)),0,ROUND(POWER(1+E5,A5-C5)*(POWER(1+E5,C5)-1)/(POWER(1+E5,A5)-1),4))</f>
        <v>0.1376</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12.95</v>
      </c>
      <c r="D6" s="3021">
        <f>IF(ISERROR(ROUND(POWER(1+E6,A6-C6)*(POWER(1+E6,C6)-1)/(POWER(1+E6,A6)-1),3)),0,ROUND(POWER(1+E6,A6-C6)*(POWER(1+E6,C6)-1)/(POWER(1+E6,A6)-1),4))</f>
        <v>0.46350000000000002</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32.96</v>
      </c>
      <c r="D7" s="3021">
        <f>IF(ISERROR(ROUND(POWER(1+E7,A7-C7)*(POWER(1+E7,C7)-1)/(POWER(1+E7,A7)-1),3)),0,ROUND(POWER(1+E7,A7-C7)*(POWER(1+E7,C7)-1)/(POWER(1+E7,A7)-1),4))</f>
        <v>0.77529999999999999</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57" t="str">
        <f>IF(B10="北京市","北京市",C10)&amp;F10&amp;IF(结果表!G1="在建","出让国有建设用地使用权及在建建筑物",IF(结果表!G1="土地","出让国有建设用地使用权",))&amp;B9&amp;"预评估"</f>
        <v>北京市密云县车站路59号楼1至2层3商业综合用房房地产抵押价值预评估</v>
      </c>
      <c r="C1" s="3558"/>
      <c r="D1" s="3558"/>
      <c r="E1" s="3558"/>
      <c r="F1" s="3558"/>
      <c r="G1" s="3558"/>
      <c r="H1" s="3558"/>
      <c r="I1" s="3559"/>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北京市密云县车站路59号楼1至2层3商业综合用房房地产抵押价值</v>
      </c>
      <c r="T1" s="1744"/>
      <c r="U1" s="1744"/>
      <c r="V1" s="1744"/>
      <c r="W1" s="1744"/>
      <c r="X1" s="1744"/>
      <c r="Y1" s="1744"/>
      <c r="Z1" s="1744"/>
      <c r="AA1" s="1744"/>
      <c r="AB1" s="1744"/>
    </row>
    <row r="2" spans="1:30">
      <c r="A2" s="2366" t="s">
        <v>2169</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北京市密云县车站路59号楼1至2层3商业综合用房房地产</v>
      </c>
      <c r="T2" s="1744"/>
      <c r="U2" s="1744"/>
      <c r="V2" s="1744"/>
      <c r="W2" s="1744"/>
      <c r="X2" s="1744"/>
      <c r="Y2" s="1744"/>
      <c r="Z2" s="1744"/>
      <c r="AA2" s="1744"/>
      <c r="AB2" s="1744"/>
    </row>
    <row r="3" spans="1:30">
      <c r="A3" s="301" t="s">
        <v>2170</v>
      </c>
      <c r="B3" s="2372">
        <v>45299</v>
      </c>
      <c r="C3" s="2373" t="s">
        <v>2171</v>
      </c>
      <c r="D3" s="2372">
        <f>B3</f>
        <v>45299</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3445"/>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3380</v>
      </c>
      <c r="C8" s="2388"/>
      <c r="D8" s="3560" t="s">
        <v>2177</v>
      </c>
      <c r="E8" s="2389" t="s">
        <v>3381</v>
      </c>
      <c r="F8" s="2390"/>
      <c r="G8" s="2661"/>
      <c r="H8" s="2661"/>
      <c r="I8" s="2661"/>
      <c r="J8" s="2437"/>
      <c r="K8" s="2612"/>
      <c r="L8" s="2611"/>
      <c r="M8" s="2611"/>
      <c r="N8" s="2437"/>
      <c r="O8" s="2448"/>
      <c r="P8" s="2437"/>
      <c r="Q8" s="2437"/>
      <c r="R8" s="2437"/>
    </row>
    <row r="9" spans="1:30" ht="13.5" thickBot="1">
      <c r="A9" s="2391" t="s">
        <v>2178</v>
      </c>
      <c r="B9" s="2392" t="s">
        <v>3381</v>
      </c>
      <c r="C9" s="2393"/>
      <c r="D9" s="3561"/>
      <c r="E9" s="2392"/>
      <c r="F9" s="2394"/>
      <c r="G9" s="2663"/>
      <c r="H9" s="2663"/>
      <c r="I9" s="2663"/>
      <c r="J9" s="2437"/>
      <c r="K9" s="2614"/>
      <c r="L9" s="2611"/>
      <c r="M9" s="2611"/>
      <c r="N9" s="2437"/>
      <c r="O9" s="2448"/>
      <c r="P9" s="2437"/>
      <c r="Q9" s="2437"/>
      <c r="R9" s="2437"/>
    </row>
    <row r="10" spans="1:30" ht="13.5" thickTop="1">
      <c r="A10" s="2395" t="s">
        <v>2179</v>
      </c>
      <c r="B10" s="2396" t="s">
        <v>3382</v>
      </c>
      <c r="C10" s="2397"/>
      <c r="D10" s="2380"/>
      <c r="E10" s="2398" t="s">
        <v>2180</v>
      </c>
      <c r="F10" s="3474" t="s">
        <v>3522</v>
      </c>
      <c r="G10" s="2664"/>
      <c r="H10" s="2665"/>
      <c r="I10" s="2666"/>
      <c r="J10" s="2437"/>
      <c r="K10" s="2614"/>
      <c r="L10" s="2611"/>
      <c r="M10" s="2611"/>
      <c r="N10" s="2437"/>
      <c r="O10" s="2448"/>
      <c r="P10" s="2437"/>
      <c r="Q10" s="2437"/>
      <c r="R10" s="2437"/>
    </row>
    <row r="11" spans="1:30">
      <c r="A11" s="2399" t="s">
        <v>2181</v>
      </c>
      <c r="B11" s="2400" t="s">
        <v>3523</v>
      </c>
      <c r="C11" s="2401"/>
      <c r="D11" s="2402"/>
      <c r="E11" s="2369"/>
      <c r="F11" s="2369"/>
      <c r="G11" s="2369"/>
      <c r="H11" s="2369"/>
      <c r="I11" s="2369"/>
      <c r="J11" s="3057"/>
      <c r="K11" s="3056"/>
      <c r="L11" s="2611"/>
      <c r="M11" s="2611"/>
      <c r="N11" s="2437"/>
      <c r="O11" s="2448"/>
      <c r="P11" s="2437"/>
      <c r="Q11" s="2437"/>
      <c r="R11" s="2437"/>
    </row>
    <row r="12" spans="1:30">
      <c r="A12" s="2403" t="s">
        <v>2182</v>
      </c>
      <c r="B12" s="322" t="s">
        <v>2183</v>
      </c>
      <c r="C12" s="2404" t="s">
        <v>2184</v>
      </c>
      <c r="D12" s="2404" t="s">
        <v>2185</v>
      </c>
      <c r="E12" s="2404" t="s">
        <v>2186</v>
      </c>
      <c r="F12" s="2404" t="s">
        <v>2187</v>
      </c>
      <c r="G12" s="2404" t="s">
        <v>2188</v>
      </c>
      <c r="H12" s="2404" t="s">
        <v>2189</v>
      </c>
      <c r="I12" s="3055" t="s">
        <v>2579</v>
      </c>
      <c r="J12" s="3058"/>
      <c r="K12" s="2611"/>
      <c r="L12" s="2611"/>
      <c r="M12" s="2437"/>
      <c r="N12" s="2448"/>
      <c r="O12" s="2437"/>
      <c r="P12" s="2437"/>
      <c r="Q12" s="2437"/>
      <c r="AD12" s="1744"/>
    </row>
    <row r="13" spans="1:30">
      <c r="A13" s="3419" t="s">
        <v>3334</v>
      </c>
      <c r="B13" s="2405" t="s">
        <v>2190</v>
      </c>
      <c r="C13" s="855"/>
      <c r="D13" s="3496">
        <v>52234</v>
      </c>
      <c r="E13" s="3496"/>
      <c r="F13" s="855"/>
      <c r="G13" s="855"/>
      <c r="H13" s="855"/>
      <c r="I13" s="855"/>
      <c r="J13" s="3058"/>
      <c r="K13" s="2611"/>
      <c r="L13" s="2611"/>
      <c r="M13" s="2437"/>
      <c r="N13" s="2448"/>
      <c r="O13" s="2437"/>
      <c r="P13" s="2437"/>
      <c r="Q13" s="2437"/>
      <c r="AD13" s="1744"/>
    </row>
    <row r="14" spans="1:30">
      <c r="A14" s="1080"/>
      <c r="B14" s="2405" t="s">
        <v>2191</v>
      </c>
      <c r="C14" s="2406"/>
      <c r="D14" s="2406">
        <v>40</v>
      </c>
      <c r="E14" s="2406">
        <v>50</v>
      </c>
      <c r="F14" s="2406"/>
      <c r="G14" s="2406"/>
      <c r="H14" s="2406"/>
      <c r="I14" s="2406"/>
      <c r="J14" s="3059"/>
      <c r="K14" s="2611"/>
      <c r="L14" s="2611"/>
      <c r="M14" s="2437"/>
      <c r="N14" s="2448"/>
      <c r="O14" s="2437"/>
      <c r="P14" s="2437"/>
      <c r="Q14" s="2437"/>
      <c r="AD14" s="1744"/>
    </row>
    <row r="15" spans="1:30">
      <c r="A15" s="319"/>
      <c r="B15" s="2407" t="s">
        <v>2192</v>
      </c>
      <c r="C15" s="2408" t="str">
        <f>IF(A13="出让",IF(C13="","",ROUNDDOWN(MIN((C13-$D$3)/365,C14),2)),C14)</f>
        <v/>
      </c>
      <c r="D15" s="2408">
        <f>IF(A13="出让",IF(D13="","",ROUNDDOWN(MIN((D13-$D$3)/365,D14),2)),D14)</f>
        <v>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7"/>
      <c r="N15" s="2449"/>
      <c r="O15" s="2507"/>
      <c r="P15" s="2437"/>
      <c r="Q15" s="2437"/>
      <c r="AD15" s="1744"/>
    </row>
    <row r="16" spans="1:30">
      <c r="A16" s="2398" t="s">
        <v>2193</v>
      </c>
      <c r="B16" s="3567"/>
      <c r="C16" s="3568"/>
      <c r="D16" s="3569"/>
      <c r="E16" s="2411" t="s">
        <v>2194</v>
      </c>
      <c r="F16" s="3570"/>
      <c r="G16" s="3571"/>
      <c r="H16" s="3571"/>
      <c r="I16" s="3572"/>
      <c r="J16" s="2437"/>
      <c r="K16" s="2615"/>
      <c r="L16" s="2449"/>
      <c r="M16" s="2449"/>
      <c r="N16" s="2507"/>
      <c r="O16" s="2449"/>
      <c r="P16" s="2507"/>
      <c r="Q16" s="2437"/>
      <c r="R16" s="2437"/>
    </row>
    <row r="17" spans="1:28">
      <c r="A17" s="312" t="s">
        <v>2195</v>
      </c>
      <c r="B17" s="301" t="s">
        <v>2196</v>
      </c>
      <c r="C17" s="8">
        <f>'数据-汇总表'!E3</f>
        <v>174.21</v>
      </c>
      <c r="D17" s="2321" t="s">
        <v>2197</v>
      </c>
      <c r="E17" s="3573" t="s">
        <v>2198</v>
      </c>
      <c r="F17" s="3574"/>
      <c r="G17" s="3574"/>
      <c r="H17" s="3574"/>
      <c r="I17" s="3575"/>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0</v>
      </c>
      <c r="D18" s="1091" t="s">
        <v>2201</v>
      </c>
      <c r="E18" s="3576" t="s">
        <v>2202</v>
      </c>
      <c r="F18" s="3577"/>
      <c r="G18" s="3577"/>
      <c r="H18" s="3577"/>
      <c r="I18" s="3578"/>
      <c r="J18" s="2437"/>
      <c r="K18" s="2616"/>
      <c r="L18" s="2449"/>
      <c r="M18" s="2449"/>
      <c r="N18" s="2507"/>
      <c r="O18" s="2449"/>
      <c r="P18" s="2507"/>
      <c r="Q18" s="2437"/>
      <c r="R18" s="2437"/>
      <c r="S18" s="2437"/>
      <c r="T18" s="2437"/>
      <c r="U18" s="2437"/>
      <c r="V18" s="2437"/>
    </row>
    <row r="19" spans="1:28" ht="37.5" thickTop="1" thickBot="1">
      <c r="A19" s="326" t="s">
        <v>1055</v>
      </c>
      <c r="B19" s="306"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63" t="s">
        <v>2206</v>
      </c>
      <c r="C20" s="3564"/>
      <c r="D20" s="3565" t="s">
        <v>2207</v>
      </c>
      <c r="E20" s="3566"/>
      <c r="F20" s="2645" t="s">
        <v>1056</v>
      </c>
      <c r="G20" s="2662"/>
      <c r="H20" s="2662"/>
      <c r="I20" s="2662"/>
      <c r="J20" s="2437"/>
      <c r="K20" s="3562"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6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6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0" t="s">
        <v>2214</v>
      </c>
      <c r="B27" s="319" t="s">
        <v>2215</v>
      </c>
      <c r="C27" s="2414" t="s">
        <v>3449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0"/>
      <c r="B28" s="301" t="s">
        <v>2216</v>
      </c>
      <c r="C28" s="2416" t="s">
        <v>3383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0"/>
      <c r="B29" s="301" t="s">
        <v>2217</v>
      </c>
      <c r="C29" s="2418" t="s">
        <v>3384</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1"/>
      <c r="B30" s="301" t="s">
        <v>2218</v>
      </c>
      <c r="C30" s="3552"/>
      <c r="D30" s="3553"/>
      <c r="E30" s="2662"/>
      <c r="F30" s="2662"/>
      <c r="G30" s="2662"/>
      <c r="H30" s="2662"/>
      <c r="I30" s="2662"/>
      <c r="J30" s="2437"/>
      <c r="K30" s="2614"/>
      <c r="L30" s="2611"/>
      <c r="M30" s="2611"/>
      <c r="N30" s="2437"/>
      <c r="O30" s="2448"/>
      <c r="P30" s="2437"/>
      <c r="Q30" s="2437"/>
      <c r="R30" s="2437"/>
      <c r="S30" s="2437"/>
      <c r="T30" s="2437"/>
      <c r="U30" s="2437"/>
      <c r="V30" s="2437"/>
    </row>
    <row r="31" spans="1:28">
      <c r="A31" s="3554" t="s">
        <v>2219</v>
      </c>
      <c r="B31" s="2420" t="s">
        <v>3385</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5"/>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5"/>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1" t="s">
        <v>2220</v>
      </c>
      <c r="B34" s="2025" t="s">
        <v>3386</v>
      </c>
      <c r="C34" s="2025" t="s">
        <v>3387</v>
      </c>
      <c r="D34" s="2025" t="s">
        <v>3388</v>
      </c>
      <c r="E34" s="2025" t="s">
        <v>3389</v>
      </c>
      <c r="F34" s="2025" t="s">
        <v>3390</v>
      </c>
      <c r="G34" s="2025" t="s">
        <v>3391</v>
      </c>
      <c r="H34" s="2025" t="s">
        <v>3392</v>
      </c>
      <c r="I34" s="2662"/>
      <c r="J34" s="2437"/>
      <c r="K34" s="2425">
        <f>COUNTIF(B34:H34,"——")</f>
        <v>0</v>
      </c>
      <c r="L34" s="322" t="s">
        <v>2221</v>
      </c>
      <c r="M34" s="322" t="s">
        <v>2222</v>
      </c>
      <c r="N34" s="322" t="s">
        <v>2223</v>
      </c>
      <c r="O34" s="322" t="s">
        <v>2224</v>
      </c>
      <c r="P34" s="322" t="s">
        <v>2225</v>
      </c>
      <c r="Q34" s="322" t="s">
        <v>2226</v>
      </c>
      <c r="R34" s="322" t="s">
        <v>2227</v>
      </c>
      <c r="S34" s="3549" t="s">
        <v>2228</v>
      </c>
      <c r="T34" s="2426" t="str">
        <f>NUMBERSTRING(7-K34,1)&amp;"通"</f>
        <v>七通</v>
      </c>
      <c r="U34" s="2437"/>
      <c r="V34" s="2437"/>
    </row>
    <row r="35" spans="1:30">
      <c r="A35" s="2427"/>
      <c r="B35" s="3556" t="s">
        <v>2229</v>
      </c>
      <c r="C35" s="3556"/>
      <c r="D35" s="3556"/>
      <c r="E35" s="3556"/>
      <c r="F35" s="663">
        <f>C10</f>
        <v>0</v>
      </c>
      <c r="G35" s="2662"/>
      <c r="H35" s="2662"/>
      <c r="I35" s="2662"/>
      <c r="J35" s="2437"/>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49"/>
      <c r="T35" s="328" t="str">
        <f>IF(T34="一通",L35,IF(T34="二通",M35,IF(T34="三通",N35,IF(T34="四通",O35,IF(T34="五通",P35,IF(T34="六通",Q35,R35))))))</f>
        <v>通路、通电、通讯、通上水、通下水、通热、燃气</v>
      </c>
      <c r="U35" s="2437"/>
      <c r="V35" s="2437"/>
    </row>
    <row r="36" spans="1:30">
      <c r="A36" s="2428"/>
      <c r="B36" s="663" t="s">
        <v>2185</v>
      </c>
      <c r="C36" s="663" t="s">
        <v>2186</v>
      </c>
      <c r="D36" s="663" t="s">
        <v>2184</v>
      </c>
      <c r="E36" s="663" t="s">
        <v>2189</v>
      </c>
      <c r="F36" s="3061"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t="s">
        <v>306</v>
      </c>
      <c r="C37" s="2429" t="s">
        <v>305</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3524</v>
      </c>
      <c r="C38" s="2430" t="s">
        <v>3503</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2"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174.21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174.21</v>
      </c>
      <c r="H5" s="13">
        <f t="shared" ref="H5:AT5" si="0">SUM(H13:H656)</f>
        <v>174.21</v>
      </c>
      <c r="I5" s="13">
        <f t="shared" si="0"/>
        <v>174.21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174.21</v>
      </c>
      <c r="BA5" s="15">
        <f t="shared" si="1"/>
        <v>174.21</v>
      </c>
      <c r="BB5" s="15">
        <f t="shared" si="1"/>
        <v>174.21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3393</v>
      </c>
      <c r="E13" s="13">
        <f>IF($C$3="是",ROUND($A$3*G13/$B$3,2),ROUND($A$3*(G13-AT13)/$B$3,2))</f>
        <v>0</v>
      </c>
      <c r="F13" s="29"/>
      <c r="G13" s="30">
        <f>H13+AC13+AT13</f>
        <v>174.21</v>
      </c>
      <c r="H13" s="17">
        <f>SUMIF(I$12:AB$12,"总值",I13:AB13)</f>
        <v>174.21</v>
      </c>
      <c r="I13" s="1625">
        <v>174.21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174.21</v>
      </c>
      <c r="BA13" s="13">
        <f>SUM(BB13:BK13)</f>
        <v>174.21</v>
      </c>
      <c r="BB13" s="13">
        <f>IF($D13="是",I13-J13,0)</f>
        <v>174.21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3446"/>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3446"/>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3446"/>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3446"/>
      <c r="C17" s="1050"/>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6"/>
      <c r="C18" s="1050"/>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0"/>
      <c r="B19" s="31"/>
      <c r="C19" s="1050"/>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0"/>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0"/>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0"/>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50"/>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50"/>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88" t="s">
        <v>1131</v>
      </c>
      <c r="B2" s="3588"/>
      <c r="C2" s="3588"/>
      <c r="D2" s="795" t="s">
        <v>1107</v>
      </c>
      <c r="E2" s="1638" t="s">
        <v>1108</v>
      </c>
      <c r="F2" s="2657"/>
      <c r="G2" s="2648"/>
      <c r="H2" s="2649"/>
      <c r="I2" s="2324" t="s">
        <v>1132</v>
      </c>
      <c r="J2" s="2657"/>
      <c r="K2" s="2657"/>
      <c r="L2" s="2657"/>
      <c r="M2" s="2657"/>
      <c r="N2" s="2659"/>
      <c r="O2" s="2657"/>
      <c r="P2" s="2657"/>
    </row>
    <row r="3" spans="1:16" ht="15.75" thickBot="1">
      <c r="A3" s="3589" t="s">
        <v>1105</v>
      </c>
      <c r="B3" s="3589"/>
      <c r="C3" s="3589"/>
      <c r="D3" s="43">
        <f>'数据-基础表'!AY6</f>
        <v>0</v>
      </c>
      <c r="E3" s="43">
        <f>'数据-基础表'!AZ5</f>
        <v>174.21</v>
      </c>
      <c r="F3" s="2657"/>
      <c r="G3" s="1144"/>
      <c r="H3" s="1025" t="s">
        <v>1106</v>
      </c>
      <c r="I3" s="854" t="e">
        <f>ROUND('数据-基础表'!B3/'数据-基础表'!A3,2)</f>
        <v>#DIV/0!</v>
      </c>
      <c r="J3" s="2657"/>
      <c r="K3" s="2657"/>
      <c r="L3" s="2657"/>
      <c r="M3" s="2657"/>
      <c r="N3" s="2659"/>
      <c r="O3" s="2657"/>
      <c r="P3" s="2657"/>
    </row>
    <row r="4" spans="1:16" ht="15">
      <c r="A4" s="3590"/>
      <c r="B4" s="3591"/>
      <c r="C4" s="3592"/>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93" t="s">
        <v>1110</v>
      </c>
      <c r="C5" s="3593"/>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93" t="s">
        <v>1111</v>
      </c>
      <c r="C6" s="3593"/>
      <c r="D6" s="45">
        <f>ROUND($D$3*E6/$E$3,2)</f>
        <v>0</v>
      </c>
      <c r="E6" s="46">
        <f>E3-E5</f>
        <v>174.21</v>
      </c>
      <c r="F6" s="2657"/>
      <c r="G6" s="2651" t="s">
        <v>1112</v>
      </c>
      <c r="H6" s="1145" t="s">
        <v>1113</v>
      </c>
      <c r="I6" s="2652" t="e">
        <f>ROUND(F31/D31,2)</f>
        <v>#DIV/0!</v>
      </c>
      <c r="J6" s="2657"/>
      <c r="K6" s="2657"/>
      <c r="L6" s="2657"/>
      <c r="M6" s="2657"/>
      <c r="N6" s="2657"/>
      <c r="O6" s="2657"/>
      <c r="P6" s="2657"/>
    </row>
    <row r="7" spans="1:16" ht="15.75" thickBot="1">
      <c r="A7" s="3585"/>
      <c r="B7" s="3586"/>
      <c r="C7" s="3587"/>
      <c r="D7" s="1640" t="s">
        <v>1107</v>
      </c>
      <c r="E7" s="1644" t="s">
        <v>1114</v>
      </c>
      <c r="F7" s="2657"/>
      <c r="G7" s="2653" t="s">
        <v>1115</v>
      </c>
      <c r="H7" s="2654"/>
      <c r="I7" s="2655">
        <v>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174.21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174.21</v>
      </c>
      <c r="F16" s="2657"/>
      <c r="G16" s="2658"/>
      <c r="H16" s="1647" t="s">
        <v>1135</v>
      </c>
      <c r="I16" s="1648"/>
      <c r="J16" s="1138"/>
      <c r="K16" s="3582" t="s">
        <v>1135</v>
      </c>
      <c r="L16" s="3583"/>
      <c r="M16" s="3583"/>
      <c r="N16" s="3583"/>
      <c r="O16" s="3583"/>
      <c r="P16" s="3584"/>
    </row>
    <row r="17" spans="1:19" ht="15">
      <c r="A17" s="1649" t="s">
        <v>1136</v>
      </c>
      <c r="B17" s="1650" t="s">
        <v>1137</v>
      </c>
      <c r="C17" s="1651" t="s">
        <v>1138</v>
      </c>
      <c r="D17" s="1652" t="s">
        <v>1126</v>
      </c>
      <c r="E17" s="1653" t="s">
        <v>1127</v>
      </c>
      <c r="F17" s="1654"/>
      <c r="G17" s="1655"/>
      <c r="H17" s="1656" t="s">
        <v>1139</v>
      </c>
      <c r="I17" s="1657" t="s">
        <v>1124</v>
      </c>
      <c r="J17" s="1138"/>
      <c r="K17" s="3579" t="s">
        <v>1140</v>
      </c>
      <c r="L17" s="3580"/>
      <c r="M17" s="3581"/>
      <c r="N17" s="3579" t="s">
        <v>1141</v>
      </c>
      <c r="O17" s="3580"/>
      <c r="P17" s="358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3" t="s">
        <v>3526</v>
      </c>
      <c r="D19" s="45">
        <f>ROUND($D$3*E19/$E$3,2)</f>
        <v>0</v>
      </c>
      <c r="E19" s="53">
        <f t="shared" ref="E19:E26" si="1">SUM(F19:G19)</f>
        <v>174.21</v>
      </c>
      <c r="F19" s="2792">
        <f>'数据-基础表'!I13</f>
        <v>174.21</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174.21</v>
      </c>
    </row>
    <row r="20" spans="1:19">
      <c r="A20" s="1669"/>
      <c r="B20" s="47" t="s">
        <v>1153</v>
      </c>
      <c r="C20" s="3413"/>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3"/>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4"/>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4"/>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4"/>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4"/>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174.21</v>
      </c>
      <c r="F27" s="1139">
        <f>IF(SUM(F19:F26)=E8,SUM(F19:F26),"地上面积有误")</f>
        <v>174.21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174.21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174.21</v>
      </c>
      <c r="F31" s="676">
        <f>F27+F30</f>
        <v>174.21</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Z32" sqref="Z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3" width="9.25" style="1681" customWidth="1"/>
    <col min="24" max="25" width="6.75" style="1681" customWidth="1"/>
    <col min="26" max="26" width="11" style="1681" customWidth="1"/>
    <col min="27"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45299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1-2层商业</v>
      </c>
      <c r="B6" s="1712" t="str">
        <f>IF(A6=0,"","经营性")</f>
        <v>经营性</v>
      </c>
      <c r="C6" s="1713" t="s">
        <v>673</v>
      </c>
      <c r="D6" s="857">
        <f>SUMIF(项目基本情况!C$12:I$12,C6,项目基本情况!C$14:I$14)</f>
        <v>40</v>
      </c>
      <c r="E6" s="856">
        <f>IF(B6="","",SUMIF(项目基本情况!C$12:I$12,C6,项目基本情况!C$13:I$13))</f>
        <v>52234</v>
      </c>
      <c r="F6" s="64">
        <f>SUMIF(项目基本情况!C$12:I$12,C6,项目基本情况!C$15:I$15)</f>
        <v>19</v>
      </c>
      <c r="G6" s="65">
        <f>IF(ISERROR(ROUND(POWER(1+H6,D6-F6)*(POWER(1+H6,F6)-1)/(POWER(1+H6,D6)-1),3)),0,ROUND(POWER(1+H6,D6-F6)*(POWER(1+H6,F6)-1)/(POWER(1+H6,D6)-1),3))</f>
        <v>0.70399999999999996</v>
      </c>
      <c r="H6" s="731">
        <v>0.05</v>
      </c>
      <c r="I6" s="731">
        <v>5.5E-2</v>
      </c>
      <c r="J6" s="66">
        <v>7.0000000000000007E-2</v>
      </c>
      <c r="K6" s="1029">
        <f>SUMIF('数据-汇总表'!C$19:C$33,A6,'数据-汇总表'!E$19:E$33)</f>
        <v>174.21</v>
      </c>
      <c r="L6" s="3497">
        <v>3500</v>
      </c>
      <c r="M6" s="67">
        <f t="shared" ref="M6:M14" si="0">ROUND(K6*L6/10000,0)</f>
        <v>61</v>
      </c>
      <c r="N6" s="3504">
        <f>N21</f>
        <v>0.72</v>
      </c>
      <c r="O6" s="67" t="str">
        <f>IF($N$5="成新度","——",ROUND(M6*N6,0))</f>
        <v>——</v>
      </c>
      <c r="P6" s="68" t="str">
        <f>IF($N$5="成新度","——",M6-O6)</f>
        <v>——</v>
      </c>
      <c r="Q6" s="3499">
        <v>0.2</v>
      </c>
      <c r="R6" s="69">
        <f ca="1">SUMIF('数据-汇总表'!C$19:C$33,A6,'数据-汇总表'!R$19:R$27)</f>
        <v>0</v>
      </c>
      <c r="S6" s="51">
        <f>IF('数据-汇总表'!$I$17="按面积比例",SUMIF('数据-汇总表'!C$19:C$33,A6,'数据-汇总表'!K$19:K$33),SUMIF('数据-汇总表'!C$19:C$33,A6,'数据-汇总表'!N$19:N$33))</f>
        <v>0</v>
      </c>
      <c r="T6" s="1171">
        <f>ROUND($L$14*S6/10000,0)</f>
        <v>0</v>
      </c>
      <c r="U6" s="3505">
        <v>2.2000000000000002</v>
      </c>
      <c r="V6" s="70">
        <v>0.02</v>
      </c>
      <c r="W6" s="70">
        <v>0.1</v>
      </c>
      <c r="X6" s="1039"/>
      <c r="Y6" s="71">
        <f>N6</f>
        <v>0.72</v>
      </c>
      <c r="Z6" s="72"/>
      <c r="AA6" s="66"/>
      <c r="AB6" s="66"/>
      <c r="AC6" s="1039"/>
      <c r="AD6" s="73"/>
      <c r="AE6" s="1040">
        <f ca="1">IF(AN6="",0,SUMIF(INDIRECT("'"&amp;AN6&amp;"'"&amp;"!E:E"),$AE$5,INDIRECT("'"&amp;AN6&amp;"'"&amp;"!F:F")))</f>
        <v>19</v>
      </c>
      <c r="AF6" s="1347"/>
      <c r="AG6" s="137">
        <f>IF(AF6="",0,AE6-AF6)</f>
        <v>0</v>
      </c>
      <c r="AH6" s="74"/>
      <c r="AI6" s="76">
        <v>365</v>
      </c>
      <c r="AJ6" s="77"/>
      <c r="AK6" s="3478">
        <v>0.01</v>
      </c>
      <c r="AL6" s="3479">
        <v>1E-3</v>
      </c>
      <c r="AM6" s="80">
        <v>0.01</v>
      </c>
      <c r="AN6" s="1714" t="s">
        <v>3423</v>
      </c>
      <c r="AO6" s="52">
        <f ca="1">SUMIF(INDIRECT("'"&amp;AN6&amp;"'"&amp;"!A:A"),"总价",INDIRECT("'"&amp;AN6&amp;"'"&amp;"!B:B"))</f>
        <v>143.8646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0.70399999999999996</v>
      </c>
      <c r="H16" s="90">
        <f>ROUND(SUMPRODUCT(H6:H13,K6:K13)/SUMPRODUCT((H6:H13&gt;0)*(K6:K13)),3)</f>
        <v>0.05</v>
      </c>
      <c r="I16" s="91"/>
      <c r="J16" s="91"/>
      <c r="K16" s="92">
        <f>SUM(K6:K15)</f>
        <v>174.21</v>
      </c>
      <c r="L16" s="93">
        <f>ROUND(M16*10000/SUM(K6:K14),0)</f>
        <v>3502</v>
      </c>
      <c r="M16" s="93">
        <f>SUM(M6:M14)</f>
        <v>61</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f>Q16/B20</f>
        <v>0.1</v>
      </c>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2005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3460" t="s">
        <v>3450</v>
      </c>
      <c r="N19" s="2668">
        <f>ROUND(1-(1-2%)*(2024-N18)/50,2)</f>
        <v>0.63</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2303</v>
      </c>
      <c r="D20" s="2673"/>
      <c r="E20" s="2670"/>
      <c r="F20" s="2670"/>
      <c r="G20" s="2670"/>
      <c r="H20" s="2670"/>
      <c r="I20" s="2670"/>
      <c r="J20" s="2670"/>
      <c r="K20" s="2669"/>
      <c r="L20" s="2669"/>
      <c r="M20" s="3460" t="s">
        <v>3451</v>
      </c>
      <c r="N20" s="2668">
        <v>0.8</v>
      </c>
      <c r="O20" s="2668"/>
      <c r="P20" s="2668"/>
      <c r="Q20" s="2668"/>
      <c r="R20" s="2668"/>
      <c r="S20" s="2668"/>
      <c r="T20" s="3460"/>
      <c r="U20" s="3460"/>
      <c r="V20" s="3460"/>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60" t="s">
        <v>3452</v>
      </c>
      <c r="N21" s="2668">
        <f>ROUND((N19+N20)/2,2)</f>
        <v>0.72</v>
      </c>
      <c r="O21" s="2668"/>
      <c r="P21" s="2668"/>
      <c r="Q21" s="3447"/>
      <c r="R21" s="3447"/>
      <c r="S21" s="3447"/>
      <c r="T21" s="3447"/>
      <c r="U21" s="3447"/>
      <c r="V21" s="3447"/>
      <c r="W21" s="3447"/>
      <c r="X21" s="2669"/>
      <c r="Y21" s="3447"/>
      <c r="Z21" s="3447"/>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9"/>
      <c r="R22" s="2669"/>
      <c r="S22" s="3447"/>
      <c r="T22" s="2669"/>
      <c r="U22" s="2669"/>
      <c r="V22" s="2669"/>
      <c r="W22" s="3447"/>
      <c r="X22" s="2669"/>
      <c r="Y22" s="2669"/>
      <c r="Z22" s="2669"/>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9"/>
      <c r="R23" s="2669"/>
      <c r="S23" s="3447"/>
      <c r="T23" s="2669"/>
      <c r="U23" s="3475"/>
      <c r="V23" s="2669"/>
      <c r="W23" s="2669"/>
      <c r="X23" s="2669"/>
      <c r="Y23" s="2669"/>
      <c r="Z23" s="2669"/>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3447" t="s">
        <v>3395</v>
      </c>
      <c r="M24" s="3448" t="s">
        <v>3396</v>
      </c>
      <c r="N24" s="3448" t="s">
        <v>3397</v>
      </c>
      <c r="O24" s="2668"/>
      <c r="P24" s="2668"/>
      <c r="Q24" s="2669"/>
      <c r="R24" s="2669"/>
      <c r="S24" s="3447"/>
      <c r="T24" s="2669"/>
      <c r="U24" s="2669"/>
      <c r="V24" s="2669"/>
      <c r="W24" s="2669"/>
      <c r="X24" s="2669"/>
      <c r="Y24" s="2669"/>
      <c r="Z24" s="2669"/>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3449" t="s">
        <v>3398</v>
      </c>
      <c r="L25" s="3450"/>
      <c r="M25" s="3451">
        <f>M26+M29+M30</f>
        <v>3535</v>
      </c>
      <c r="N25" s="3450"/>
      <c r="O25" s="2668"/>
      <c r="P25" s="2668"/>
      <c r="Q25" s="2669"/>
      <c r="R25" s="2669"/>
      <c r="S25" s="3447"/>
      <c r="T25" s="2669"/>
      <c r="U25" s="2669"/>
      <c r="V25" s="2669"/>
      <c r="W25" s="2669"/>
      <c r="X25" s="2669"/>
      <c r="Y25" s="2669"/>
      <c r="Z25" s="2669"/>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3452" t="s">
        <v>3399</v>
      </c>
      <c r="L26" s="3453">
        <f>K16</f>
        <v>174.21</v>
      </c>
      <c r="M26" s="3454">
        <f>N26/L26</f>
        <v>1750</v>
      </c>
      <c r="N26" s="3455">
        <f>N27+N28</f>
        <v>304867.5</v>
      </c>
      <c r="O26" s="2668"/>
      <c r="P26" s="2668"/>
      <c r="Q26" s="2669"/>
      <c r="R26" s="2669"/>
      <c r="S26" s="2669"/>
      <c r="T26" s="3475"/>
      <c r="U26" s="2669"/>
      <c r="V26" s="2669"/>
      <c r="W26" s="2669"/>
      <c r="X26" s="2669"/>
      <c r="Y26" s="2669"/>
      <c r="Z26" s="2669"/>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3472">
        <v>150</v>
      </c>
      <c r="C27" s="2798" t="s">
        <v>2307</v>
      </c>
      <c r="D27" s="2676"/>
      <c r="E27" s="2659"/>
      <c r="F27" s="2659"/>
      <c r="G27" s="2670"/>
      <c r="H27" s="2670"/>
      <c r="I27" s="2670"/>
      <c r="J27" s="2670"/>
      <c r="K27" s="3456" t="s">
        <v>3400</v>
      </c>
      <c r="L27" s="3459">
        <f>K6</f>
        <v>174.21</v>
      </c>
      <c r="M27" s="3498">
        <v>1750</v>
      </c>
      <c r="N27" s="3457">
        <f>M27*L27</f>
        <v>304867.5</v>
      </c>
      <c r="O27" s="2668"/>
      <c r="P27" s="2668"/>
      <c r="Q27" s="2669"/>
      <c r="R27" s="2669"/>
      <c r="S27" s="3447"/>
      <c r="T27" s="2669"/>
      <c r="U27" s="2669"/>
      <c r="V27" s="2669"/>
      <c r="W27" s="2669"/>
      <c r="X27" s="2669"/>
      <c r="Y27" s="2669"/>
      <c r="Z27" s="2669"/>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3473">
        <v>190</v>
      </c>
      <c r="C28" s="2677"/>
      <c r="D28" s="2676"/>
      <c r="E28" s="3501"/>
      <c r="F28" s="3501" t="s">
        <v>3507</v>
      </c>
      <c r="G28" s="2670"/>
      <c r="H28" s="2670"/>
      <c r="I28" s="2670"/>
      <c r="J28" s="2670"/>
      <c r="K28" s="3456" t="s">
        <v>2641</v>
      </c>
      <c r="L28" s="3457">
        <v>0</v>
      </c>
      <c r="M28" s="3457">
        <v>0</v>
      </c>
      <c r="N28" s="3457">
        <f t="shared" ref="N28:N30" si="12">M28*L28</f>
        <v>0</v>
      </c>
      <c r="O28" s="2668"/>
      <c r="P28" s="2668"/>
      <c r="Q28" s="2669"/>
      <c r="R28" s="2669"/>
      <c r="S28" s="2669"/>
      <c r="T28" s="2669"/>
      <c r="U28" s="2669"/>
      <c r="V28" s="2669"/>
      <c r="W28" s="2669"/>
      <c r="X28" s="2669"/>
      <c r="Y28" s="2669"/>
      <c r="Z28" s="2669"/>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 (元)'!C10/10000</f>
        <v>3.31</v>
      </c>
      <c r="C29" s="2799" t="s">
        <v>2294</v>
      </c>
      <c r="D29" s="2676"/>
      <c r="E29" s="2659"/>
      <c r="F29" s="2659"/>
      <c r="G29" s="2670"/>
      <c r="H29" s="2670"/>
      <c r="I29" s="2670"/>
      <c r="J29" s="2670"/>
      <c r="K29" s="3452" t="s">
        <v>3401</v>
      </c>
      <c r="L29" s="3453">
        <f>L26</f>
        <v>174.21</v>
      </c>
      <c r="M29" s="3455">
        <v>700</v>
      </c>
      <c r="N29" s="3457">
        <f t="shared" si="12"/>
        <v>121947</v>
      </c>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3452" t="s">
        <v>3402</v>
      </c>
      <c r="L30" s="3453">
        <f>L26</f>
        <v>174.21</v>
      </c>
      <c r="M30" s="3455">
        <v>1085</v>
      </c>
      <c r="N30" s="3457">
        <f t="shared" si="12"/>
        <v>189017.85</v>
      </c>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5"/>
      <c r="D31" s="2676"/>
      <c r="E31" s="2659"/>
      <c r="F31" s="2659"/>
      <c r="G31" s="2670"/>
      <c r="H31" s="2670"/>
      <c r="I31" s="2670"/>
      <c r="J31" s="2670"/>
      <c r="K31" s="3449" t="s">
        <v>3403</v>
      </c>
      <c r="L31" s="3455">
        <v>0</v>
      </c>
      <c r="M31" s="3454">
        <f>M25</f>
        <v>3535</v>
      </c>
      <c r="N31" s="3454">
        <f>M31*L31</f>
        <v>0</v>
      </c>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3449" t="s">
        <v>3404</v>
      </c>
      <c r="L32" s="3458">
        <f>L26</f>
        <v>174.21</v>
      </c>
      <c r="M32" s="3451">
        <f>N32/L32</f>
        <v>3534.9999999999995</v>
      </c>
      <c r="N32" s="3451">
        <f>N26+N29+N30+N31</f>
        <v>615832.35</v>
      </c>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0" t="s">
        <v>2297</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4">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2">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3506" t="s">
        <v>2314</v>
      </c>
      <c r="B40" s="1077">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8">
        <v>0.05</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6">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6">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19"/>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0">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6">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1">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2">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3">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9"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94" t="s">
        <v>2286</v>
      </c>
      <c r="B1" s="3595"/>
      <c r="C1" s="3595"/>
      <c r="D1" s="3595"/>
      <c r="E1" s="3595"/>
      <c r="F1" s="3595"/>
      <c r="G1" s="359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2" t="s">
        <v>2254</v>
      </c>
      <c r="C4" s="2466" t="s">
        <v>2255</v>
      </c>
      <c r="D4" s="2463"/>
      <c r="E4" s="2467"/>
      <c r="F4" s="1372" t="s">
        <v>2256</v>
      </c>
      <c r="G4" s="2468" t="s">
        <v>2257</v>
      </c>
      <c r="H4" s="798"/>
      <c r="I4" s="798"/>
      <c r="J4" s="798"/>
      <c r="K4" s="798"/>
      <c r="L4" s="798"/>
      <c r="M4" s="798"/>
      <c r="N4" s="798"/>
      <c r="O4" s="798"/>
      <c r="P4" s="798"/>
      <c r="Q4" s="798"/>
      <c r="R4" s="798"/>
    </row>
    <row r="5" spans="1:29" ht="36.75">
      <c r="A5" s="2440"/>
      <c r="B5" s="322" t="s">
        <v>2258</v>
      </c>
      <c r="C5" s="2466" t="s">
        <v>2259</v>
      </c>
      <c r="D5" s="2463"/>
      <c r="E5" s="2467"/>
      <c r="F5" s="322" t="s">
        <v>2260</v>
      </c>
      <c r="G5" s="2468" t="s">
        <v>2261</v>
      </c>
      <c r="H5" s="798"/>
      <c r="I5" s="798"/>
      <c r="J5" s="798"/>
      <c r="K5" s="798"/>
      <c r="L5" s="798"/>
      <c r="M5" s="798"/>
      <c r="N5" s="798"/>
      <c r="O5" s="798"/>
      <c r="P5" s="798"/>
      <c r="Q5" s="798"/>
      <c r="R5" s="798"/>
    </row>
    <row r="6" spans="1:29" ht="36">
      <c r="A6" s="2440"/>
      <c r="B6" s="322" t="s">
        <v>2262</v>
      </c>
      <c r="C6" s="2468" t="s">
        <v>2257</v>
      </c>
      <c r="D6" s="2463"/>
      <c r="E6" s="2467"/>
      <c r="F6" s="322" t="s">
        <v>2263</v>
      </c>
      <c r="G6" s="2468" t="s">
        <v>2264</v>
      </c>
      <c r="H6" s="798"/>
      <c r="I6" s="798"/>
      <c r="J6" s="798"/>
      <c r="K6" s="798"/>
      <c r="L6" s="798"/>
      <c r="M6" s="798"/>
      <c r="N6" s="798"/>
      <c r="O6" s="798"/>
      <c r="P6" s="798"/>
      <c r="Q6" s="798"/>
      <c r="R6" s="798"/>
    </row>
    <row r="7" spans="1:29" ht="24.75" thickBot="1">
      <c r="A7" s="2440"/>
      <c r="B7" s="322" t="s">
        <v>2260</v>
      </c>
      <c r="C7" s="2468" t="s">
        <v>2261</v>
      </c>
      <c r="D7" s="2469"/>
      <c r="E7" s="2470"/>
      <c r="F7" s="2471" t="s">
        <v>2265</v>
      </c>
      <c r="G7" s="2472" t="s">
        <v>2266</v>
      </c>
      <c r="H7" s="798"/>
      <c r="I7" s="798"/>
      <c r="J7" s="798"/>
      <c r="K7" s="798"/>
      <c r="L7" s="798"/>
      <c r="M7" s="798"/>
      <c r="N7" s="798"/>
      <c r="O7" s="798"/>
      <c r="P7" s="798"/>
      <c r="Q7" s="798"/>
      <c r="R7" s="798"/>
    </row>
    <row r="8" spans="1:29">
      <c r="A8" s="2440"/>
      <c r="B8" s="322" t="s">
        <v>2263</v>
      </c>
      <c r="C8" s="2468" t="s">
        <v>2264</v>
      </c>
      <c r="D8" s="2469"/>
      <c r="E8" s="2469"/>
      <c r="F8" s="2473"/>
      <c r="G8" s="2473"/>
      <c r="H8" s="798"/>
      <c r="I8" s="798"/>
      <c r="J8" s="798"/>
      <c r="K8" s="798"/>
      <c r="L8" s="798"/>
      <c r="M8" s="798"/>
      <c r="N8" s="798"/>
      <c r="O8" s="798"/>
      <c r="P8" s="798"/>
      <c r="Q8" s="798"/>
      <c r="R8" s="798"/>
    </row>
    <row r="9" spans="1:29" ht="24">
      <c r="A9" s="2440"/>
      <c r="B9" s="322"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2"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2" t="s">
        <v>2263</v>
      </c>
      <c r="G20" s="2501" t="str">
        <f>G6</f>
        <v>估价对象所在区域基础设施水平</v>
      </c>
    </row>
    <row r="21" spans="1:18" ht="25.5">
      <c r="A21" s="2444"/>
      <c r="B21" s="322" t="s">
        <v>2260</v>
      </c>
      <c r="C21" s="2501" t="str">
        <f>C7</f>
        <v>估价对象所在区域公共配套设施齐备情况</v>
      </c>
      <c r="D21" s="2463"/>
      <c r="E21" s="2445"/>
      <c r="F21" s="2500" t="s">
        <v>2278</v>
      </c>
      <c r="G21" s="2503"/>
    </row>
    <row r="22" spans="1:18" ht="13.5" customHeight="1">
      <c r="A22" s="2444"/>
      <c r="B22" s="322"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174.21</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45299</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175</v>
      </c>
      <c r="C5" s="2510">
        <f ca="1">IF(B5=D14,结果表!H102,ROUND(B5*10000/$B$1,0))</f>
        <v>10020</v>
      </c>
      <c r="D5" s="2510" t="e">
        <f ca="1">ROUND(B5*10000/$B$2,0)</f>
        <v>#DIV/0!</v>
      </c>
      <c r="E5" s="2683"/>
      <c r="F5" s="2684"/>
      <c r="G5" s="2684"/>
      <c r="H5" s="2685"/>
      <c r="I5" s="2685"/>
      <c r="J5" s="2685"/>
      <c r="K5" s="2685"/>
    </row>
    <row r="6" spans="1:11" ht="16.5">
      <c r="A6" s="2510" t="s">
        <v>656</v>
      </c>
      <c r="B6" s="2510">
        <f ca="1">SUM(G14:G23)</f>
        <v>175</v>
      </c>
      <c r="C6" s="2510">
        <f ca="1">IF(B6=G14,结果表!H108,ROUND(B6*10000/$B$1,0))</f>
        <v>10020</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3357</v>
      </c>
      <c r="D10" s="2510" t="s">
        <v>3358</v>
      </c>
      <c r="E10" s="3437"/>
      <c r="F10" s="3441" t="s">
        <v>3359</v>
      </c>
      <c r="G10" s="3438"/>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174.21</v>
      </c>
      <c r="C14" s="2516">
        <f>'数据-汇总表'!D3</f>
        <v>0</v>
      </c>
      <c r="D14" s="2516">
        <f ca="1">结果表!G19</f>
        <v>175</v>
      </c>
      <c r="E14" s="2516">
        <f ca="1">结果表!G20</f>
        <v>10020</v>
      </c>
      <c r="F14" s="2516" t="e">
        <f ca="1">ROUND(D14*10000/C14,0)</f>
        <v>#DIV/0!</v>
      </c>
      <c r="G14" s="2516">
        <f ca="1">结果表!H107</f>
        <v>175</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1" sqref="J1:J104857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0" t="str">
        <f>项目基本情况!S2</f>
        <v>北京市密云县车站路59号楼1至2层3商业综合用房房地产</v>
      </c>
      <c r="B2" s="3631"/>
      <c r="C2" s="3631"/>
      <c r="D2" s="3631"/>
      <c r="E2" s="3631"/>
      <c r="F2" s="3631"/>
      <c r="G2" s="3631"/>
      <c r="H2" s="3631"/>
      <c r="I2" s="3632"/>
    </row>
    <row r="3" spans="1:12" ht="12.75">
      <c r="A3" s="3634" t="s">
        <v>1264</v>
      </c>
      <c r="B3" s="3635"/>
      <c r="C3" s="3635"/>
      <c r="D3" s="3635"/>
      <c r="E3" s="3635"/>
      <c r="F3" s="3635"/>
      <c r="G3" s="3635"/>
      <c r="H3" s="3635"/>
      <c r="I3" s="3635"/>
    </row>
    <row r="4" spans="1:12" ht="14.25">
      <c r="A4" s="1753" t="s">
        <v>1265</v>
      </c>
      <c r="B4" s="1754" t="s">
        <v>1266</v>
      </c>
      <c r="C4" s="1755" t="s">
        <v>3505</v>
      </c>
      <c r="D4" s="1755" t="s">
        <v>3423</v>
      </c>
      <c r="E4" s="3639" t="s">
        <v>1267</v>
      </c>
      <c r="F4" s="3640"/>
      <c r="G4" s="3640"/>
      <c r="H4" s="3640"/>
      <c r="I4" s="364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0" t="s">
        <v>1268</v>
      </c>
      <c r="B5" s="3597">
        <v>25</v>
      </c>
      <c r="C5" s="3636"/>
      <c r="D5" s="3633"/>
      <c r="E5" s="130" t="s">
        <v>1269</v>
      </c>
      <c r="F5" s="1756"/>
      <c r="G5" s="1756"/>
      <c r="H5" s="1756"/>
      <c r="I5" s="1372"/>
    </row>
    <row r="6" spans="1:12" ht="12.75">
      <c r="A6" s="3610"/>
      <c r="B6" s="3597"/>
      <c r="C6" s="3638"/>
      <c r="D6" s="3633"/>
      <c r="E6" s="130" t="s">
        <v>1270</v>
      </c>
      <c r="F6" s="1756"/>
      <c r="G6" s="1756"/>
      <c r="H6" s="1756"/>
      <c r="I6" s="1372"/>
    </row>
    <row r="7" spans="1:12" ht="12.75">
      <c r="A7" s="3610"/>
      <c r="B7" s="3597"/>
      <c r="C7" s="3637"/>
      <c r="D7" s="3633"/>
      <c r="E7" s="130" t="s">
        <v>1271</v>
      </c>
      <c r="F7" s="1756"/>
      <c r="G7" s="1756"/>
      <c r="H7" s="1756"/>
      <c r="I7" s="1372"/>
    </row>
    <row r="8" spans="1:12" ht="12.75">
      <c r="A8" s="3610" t="s">
        <v>1272</v>
      </c>
      <c r="B8" s="3597">
        <v>15</v>
      </c>
      <c r="C8" s="3636"/>
      <c r="D8" s="3633"/>
      <c r="E8" s="130" t="s">
        <v>1273</v>
      </c>
      <c r="F8" s="1756"/>
      <c r="G8" s="1756"/>
      <c r="H8" s="1756"/>
      <c r="I8" s="1372"/>
    </row>
    <row r="9" spans="1:12" ht="12.75">
      <c r="A9" s="3610"/>
      <c r="B9" s="3597"/>
      <c r="C9" s="3637"/>
      <c r="D9" s="3633"/>
      <c r="E9" s="130" t="s">
        <v>1274</v>
      </c>
      <c r="F9" s="1756"/>
      <c r="G9" s="1756"/>
      <c r="H9" s="1756"/>
      <c r="I9" s="1372"/>
    </row>
    <row r="10" spans="1:12" ht="12.75">
      <c r="A10" s="3610" t="s">
        <v>1275</v>
      </c>
      <c r="B10" s="3597">
        <v>15</v>
      </c>
      <c r="C10" s="3636"/>
      <c r="D10" s="3633"/>
      <c r="E10" s="130" t="s">
        <v>1276</v>
      </c>
      <c r="F10" s="1756"/>
      <c r="G10" s="1756"/>
      <c r="H10" s="1756"/>
      <c r="I10" s="1372"/>
    </row>
    <row r="11" spans="1:12" ht="12.75">
      <c r="A11" s="3610"/>
      <c r="B11" s="3597"/>
      <c r="C11" s="3637"/>
      <c r="D11" s="3633"/>
      <c r="E11" s="130" t="s">
        <v>1277</v>
      </c>
      <c r="F11" s="1756"/>
      <c r="G11" s="1756"/>
      <c r="H11" s="1756"/>
      <c r="I11" s="1372"/>
    </row>
    <row r="12" spans="1:12" ht="12.75">
      <c r="A12" s="3610" t="s">
        <v>1278</v>
      </c>
      <c r="B12" s="3597">
        <v>15</v>
      </c>
      <c r="C12" s="3636"/>
      <c r="D12" s="3633"/>
      <c r="E12" s="130" t="s">
        <v>1279</v>
      </c>
      <c r="F12" s="1756"/>
      <c r="G12" s="1756"/>
      <c r="H12" s="1756"/>
      <c r="I12" s="1372"/>
    </row>
    <row r="13" spans="1:12" ht="12.75">
      <c r="A13" s="3610"/>
      <c r="B13" s="3597"/>
      <c r="C13" s="3637"/>
      <c r="D13" s="3633"/>
      <c r="E13" s="130" t="s">
        <v>1280</v>
      </c>
      <c r="F13" s="1756"/>
      <c r="G13" s="1756"/>
      <c r="H13" s="1756"/>
      <c r="I13" s="1372"/>
    </row>
    <row r="14" spans="1:12" ht="12.75">
      <c r="A14" s="3610" t="s">
        <v>1281</v>
      </c>
      <c r="B14" s="3597">
        <v>30</v>
      </c>
      <c r="C14" s="3613">
        <v>4</v>
      </c>
      <c r="D14" s="3660">
        <v>6</v>
      </c>
      <c r="E14" s="130" t="s">
        <v>1282</v>
      </c>
      <c r="F14" s="1756"/>
      <c r="G14" s="1756"/>
      <c r="H14" s="1756"/>
      <c r="I14" s="1372"/>
    </row>
    <row r="15" spans="1:12" ht="12.75">
      <c r="A15" s="3610"/>
      <c r="B15" s="3597"/>
      <c r="C15" s="3614"/>
      <c r="D15" s="3660"/>
      <c r="E15" s="130" t="s">
        <v>1283</v>
      </c>
      <c r="F15" s="1756"/>
      <c r="G15" s="1756"/>
      <c r="H15" s="1756"/>
      <c r="I15" s="1372"/>
    </row>
    <row r="16" spans="1:12" ht="12.75">
      <c r="A16" s="3610"/>
      <c r="B16" s="3597"/>
      <c r="C16" s="3615"/>
      <c r="D16" s="3660"/>
      <c r="E16" s="130" t="s">
        <v>1284</v>
      </c>
      <c r="F16" s="1756"/>
      <c r="G16" s="1756"/>
      <c r="H16" s="1756"/>
      <c r="I16" s="1372"/>
    </row>
    <row r="17" spans="1:36" ht="15">
      <c r="A17" s="1757" t="s">
        <v>1285</v>
      </c>
      <c r="B17" s="56"/>
      <c r="C17" s="131">
        <f>SUM(C5:C16)</f>
        <v>4</v>
      </c>
      <c r="D17" s="131">
        <f>SUM(D5:D16)</f>
        <v>6</v>
      </c>
      <c r="E17" s="128"/>
      <c r="F17" s="128"/>
      <c r="G17" s="128"/>
      <c r="H17" s="128"/>
      <c r="I17" s="128"/>
      <c r="K17" s="301"/>
      <c r="L17" s="301" t="s">
        <v>1286</v>
      </c>
      <c r="M17" s="301" t="s">
        <v>1287</v>
      </c>
    </row>
    <row r="18" spans="1:36" ht="31.9" customHeight="1" thickBot="1">
      <c r="A18" s="1758" t="s">
        <v>1288</v>
      </c>
      <c r="B18" s="1759"/>
      <c r="C18" s="132">
        <f>ROUND(C17/SUM(C17:D17),2)</f>
        <v>0.4</v>
      </c>
      <c r="D18" s="132">
        <f>1-C18</f>
        <v>0.6</v>
      </c>
      <c r="E18" s="3620" t="s">
        <v>2131</v>
      </c>
      <c r="F18" s="3621"/>
      <c r="G18" s="3621"/>
      <c r="H18" s="3621"/>
      <c r="I18" s="3621"/>
      <c r="K18" s="301" t="s">
        <v>1289</v>
      </c>
      <c r="L18" s="301">
        <f>IF(C1="",'数据-汇总表'!E3,SUMIF(项目类型,C1,'数据-汇总表'!E17:E26)+SUMIF(项目类型,C1,'数据-汇总表'!I17:I26))</f>
        <v>174.21</v>
      </c>
      <c r="M18" s="301">
        <f>IF(C1="",'数据-汇总表'!E3,SUMIF(项目类型,C1,'数据-汇总表'!E17:E26))</f>
        <v>174.21</v>
      </c>
    </row>
    <row r="19" spans="1:36" ht="15">
      <c r="A19" s="1760" t="s">
        <v>1290</v>
      </c>
      <c r="B19" s="1761" t="s">
        <v>1291</v>
      </c>
      <c r="C19" s="133">
        <f ca="1">SUMIF(INDIRECT("'"&amp;C4&amp;"'"&amp;"!A:A"),结果表!B19,INDIRECT("'"&amp;C4&amp;"'"&amp;"!B:B"))</f>
        <v>220.60769999999999</v>
      </c>
      <c r="D19" s="134">
        <f ca="1">SUMIF(INDIRECT("'"&amp;D4&amp;"'"&amp;"!A:A"),结果表!B19,INDIRECT("'"&amp;D4&amp;"'"&amp;"!B:B"))</f>
        <v>143.8646</v>
      </c>
      <c r="E19" s="1760" t="s">
        <v>1292</v>
      </c>
      <c r="F19" s="1761" t="s">
        <v>1291</v>
      </c>
      <c r="G19" s="135">
        <f ca="1">ROUND(C19*$C$18+D19*$D$18,0)</f>
        <v>175</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12663</v>
      </c>
      <c r="D20" s="137">
        <f ca="1">SUMIF(INDIRECT("'"&amp;D4&amp;"'"&amp;"!A:A"),结果表!B20,INDIRECT("'"&amp;D4&amp;"'"&amp;"!B:B"))</f>
        <v>8258</v>
      </c>
      <c r="E20" s="1763"/>
      <c r="F20" s="1025" t="s">
        <v>1295</v>
      </c>
      <c r="G20" s="138">
        <f ca="1">ROUND(C20*$C$18+D20*$D$18,0)</f>
        <v>10020</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0.53343977601161097</v>
      </c>
      <c r="E22" s="128"/>
      <c r="F22" s="128"/>
      <c r="G22" s="128"/>
      <c r="H22" s="128"/>
      <c r="I22" s="128"/>
    </row>
    <row r="23" spans="1:36" ht="13.5" thickBot="1">
      <c r="A23" s="1746"/>
      <c r="B23" s="1746"/>
      <c r="C23" s="1746"/>
      <c r="D23" s="1746"/>
      <c r="E23" s="128"/>
      <c r="F23" s="128"/>
      <c r="G23" s="128"/>
      <c r="H23" s="128"/>
      <c r="I23" s="128"/>
    </row>
    <row r="24" spans="1:36" ht="14.25">
      <c r="A24" s="3604" t="s">
        <v>1299</v>
      </c>
      <c r="B24" s="1761" t="s">
        <v>1291</v>
      </c>
      <c r="C24" s="135">
        <f>IF(B30=0,0,D30)</f>
        <v>0</v>
      </c>
      <c r="D24" s="1768"/>
      <c r="E24" s="128"/>
      <c r="F24" s="128"/>
      <c r="G24" s="128"/>
      <c r="H24" s="128"/>
      <c r="I24" s="128"/>
    </row>
    <row r="25" spans="1:36" ht="14.25">
      <c r="A25" s="3605"/>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10020</v>
      </c>
      <c r="D32" s="1774" t="s">
        <v>3448</v>
      </c>
      <c r="E32" s="128"/>
      <c r="F32" s="128"/>
      <c r="G32" s="128"/>
      <c r="H32" s="128"/>
      <c r="I32" s="128"/>
    </row>
    <row r="33" spans="1:15" ht="15">
      <c r="A33" s="785" t="s">
        <v>1306</v>
      </c>
      <c r="B33" s="1775"/>
      <c r="C33" s="1776" t="s">
        <v>3521</v>
      </c>
      <c r="D33" s="1777" t="s">
        <v>3505</v>
      </c>
      <c r="E33" s="1778" t="s">
        <v>1307</v>
      </c>
      <c r="F33" s="1779" t="str">
        <f>IF(D32="楼面单价","取值（单价）","取值（总价）")</f>
        <v>取值（单价）</v>
      </c>
      <c r="G33" s="128"/>
      <c r="H33" s="128"/>
      <c r="I33" s="128"/>
    </row>
    <row r="34" spans="1:15" ht="15">
      <c r="A34" s="1780"/>
      <c r="B34" s="1781" t="s">
        <v>1308</v>
      </c>
      <c r="C34" s="147">
        <f ca="1">IF(C33="自定义",F34,C32-C35)</f>
        <v>6964</v>
      </c>
      <c r="D34" s="860">
        <f ca="1">IF(C33="自定义",ROUND(C34/C32,3),IF(C33="收益比率",SUMIF(INDIRECT("'"&amp;D33&amp;"'"&amp;"!b:b"),"土地收益比率",INDIRECT("'"&amp;D33&amp;"'"&amp;"!c:c")),SUMIF(INDIRECT("'"&amp;D33&amp;"'"&amp;"!b:b"),"土地成本比率",INDIRECT("'"&amp;D33&amp;"'"&amp;"!c:c"))))</f>
        <v>0.69500000000000006</v>
      </c>
      <c r="E34" s="1782" t="s">
        <v>1309</v>
      </c>
      <c r="F34" s="1329"/>
      <c r="G34" s="128"/>
      <c r="H34" s="128"/>
      <c r="I34" s="128"/>
    </row>
    <row r="35" spans="1:15" ht="15.75" thickBot="1">
      <c r="A35" s="1783"/>
      <c r="B35" s="1784" t="s">
        <v>1310</v>
      </c>
      <c r="C35" s="1169">
        <f ca="1">IF(C33="自定义",F35,ROUND(C32*D35,0))</f>
        <v>3056</v>
      </c>
      <c r="D35" s="1170">
        <f ca="1">IF(C33="自定义",ROUND(C35/C32,3),IF(C33="收益比率",SUMIF(INDIRECT("'"&amp;D33&amp;"'"&amp;"!b:b"),"建筑物收益比率",INDIRECT("'"&amp;D33&amp;"'"&amp;"!c:c")),SUMIF(INDIRECT("'"&amp;D33&amp;"'"&amp;"!b:b"),"建筑物成本比率",INDIRECT("'"&amp;D33&amp;"'"&amp;"!c:c"))))</f>
        <v>0.30499999999999999</v>
      </c>
      <c r="E35" s="1785" t="s">
        <v>1311</v>
      </c>
      <c r="F35" s="153"/>
      <c r="G35" s="128"/>
      <c r="H35" s="128"/>
      <c r="I35" s="128"/>
    </row>
    <row r="36" spans="1:15" ht="15.75" thickBot="1">
      <c r="A36" s="3624" t="s">
        <v>1312</v>
      </c>
      <c r="B36" s="1786" t="s">
        <v>1313</v>
      </c>
      <c r="C36" s="144"/>
      <c r="D36" s="1787"/>
      <c r="E36" s="1788"/>
      <c r="F36" s="1789"/>
      <c r="G36" s="128"/>
      <c r="H36" s="128"/>
      <c r="I36" s="128"/>
    </row>
    <row r="37" spans="1:15" ht="15.75" thickBot="1">
      <c r="A37" s="3625"/>
      <c r="B37" s="1673" t="s">
        <v>1314</v>
      </c>
      <c r="C37" s="146"/>
      <c r="D37" s="1138"/>
      <c r="E37" s="1138"/>
      <c r="F37" s="1789"/>
      <c r="G37" s="128"/>
      <c r="H37" s="128"/>
      <c r="I37" s="128"/>
    </row>
    <row r="38" spans="1:15" ht="15.75" thickBot="1">
      <c r="A38" s="362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01" t="s">
        <v>1326</v>
      </c>
      <c r="B45" s="3602"/>
      <c r="C45" s="3603"/>
      <c r="D45" s="154">
        <f ca="1">ROUND(H101*F45,0)</f>
        <v>175</v>
      </c>
      <c r="E45" s="155" t="s">
        <v>1327</v>
      </c>
      <c r="F45" s="156">
        <v>1</v>
      </c>
      <c r="G45" s="157" t="s">
        <v>1328</v>
      </c>
      <c r="H45" s="128"/>
      <c r="I45" s="128"/>
      <c r="J45" s="3683" t="s">
        <v>1329</v>
      </c>
      <c r="K45" s="3683"/>
      <c r="L45" s="3683"/>
      <c r="M45" s="3683"/>
      <c r="N45" s="3683"/>
      <c r="O45" s="3683"/>
    </row>
    <row r="46" spans="1:15" ht="14.25" customHeight="1">
      <c r="A46" s="3598" t="s">
        <v>1330</v>
      </c>
      <c r="B46" s="3599"/>
      <c r="C46" s="3599"/>
      <c r="D46" s="3599"/>
      <c r="E46" s="3599"/>
      <c r="F46" s="3599"/>
      <c r="G46" s="3600"/>
      <c r="H46" s="1805"/>
      <c r="I46" s="158"/>
      <c r="J46" s="2521">
        <v>1</v>
      </c>
      <c r="K46" s="3664" t="s">
        <v>1331</v>
      </c>
      <c r="L46" s="3664"/>
      <c r="M46" s="3684"/>
      <c r="N46" s="3684"/>
      <c r="O46" s="3684"/>
    </row>
    <row r="47" spans="1:15" ht="12" customHeight="1">
      <c r="A47" s="159" t="s">
        <v>1332</v>
      </c>
      <c r="B47" s="160"/>
      <c r="C47" s="161"/>
      <c r="D47" s="1086" t="s">
        <v>1333</v>
      </c>
      <c r="E47" s="301" t="s">
        <v>1334</v>
      </c>
      <c r="F47" s="162" t="s">
        <v>1335</v>
      </c>
      <c r="G47" s="2544" t="s">
        <v>1336</v>
      </c>
      <c r="H47" s="2545"/>
      <c r="I47" s="158"/>
      <c r="J47" s="2521">
        <v>2</v>
      </c>
      <c r="K47" s="3664" t="s">
        <v>1337</v>
      </c>
      <c r="L47" s="3664"/>
      <c r="M47" s="3685">
        <f>'数据-取费表'!B2</f>
        <v>45299</v>
      </c>
      <c r="N47" s="3685"/>
      <c r="O47" s="3685"/>
    </row>
    <row r="48" spans="1:15" ht="25.5">
      <c r="A48" s="3629" t="s">
        <v>1338</v>
      </c>
      <c r="B48" s="3612"/>
      <c r="C48" s="3612"/>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64" t="s">
        <v>1340</v>
      </c>
      <c r="L48" s="3664"/>
      <c r="M48" s="3686">
        <f ca="1">H101</f>
        <v>175</v>
      </c>
      <c r="N48" s="3686"/>
      <c r="O48" s="3686"/>
    </row>
    <row r="49" spans="1:35" ht="25.5" customHeight="1">
      <c r="A49" s="2332" t="s">
        <v>1341</v>
      </c>
      <c r="B49" s="3596" t="s">
        <v>1342</v>
      </c>
      <c r="C49" s="3596"/>
      <c r="D49" s="1589">
        <v>0</v>
      </c>
      <c r="E49" s="323" t="s">
        <v>1343</v>
      </c>
      <c r="F49" s="2422" t="s">
        <v>28</v>
      </c>
      <c r="G49" s="3670"/>
      <c r="H49" s="2309" t="s">
        <v>2134</v>
      </c>
      <c r="I49" s="2310"/>
      <c r="J49" s="2521">
        <v>4</v>
      </c>
      <c r="K49" s="3664" t="str">
        <f>IF(项目基本情况!E8="房地产抵押价值","房地产抵押价值","抵押担保权已注销时的房地产抵押价值")</f>
        <v>房地产抵押价值</v>
      </c>
      <c r="L49" s="3664"/>
      <c r="M49" s="3686">
        <f ca="1">IF(项目基本情况!E8="房地产抵押价值",H107,H109)</f>
        <v>175</v>
      </c>
      <c r="N49" s="3686"/>
      <c r="O49" s="3686"/>
    </row>
    <row r="50" spans="1:35" ht="25.5" customHeight="1">
      <c r="A50" s="2549"/>
      <c r="B50" s="3596" t="s">
        <v>1344</v>
      </c>
      <c r="C50" s="3596"/>
      <c r="D50" s="2550"/>
      <c r="E50" s="331"/>
      <c r="F50" s="2422"/>
      <c r="G50" s="3671"/>
      <c r="H50" s="2311" t="s">
        <v>2135</v>
      </c>
      <c r="I50" s="2310"/>
      <c r="J50" s="3683" t="s">
        <v>1345</v>
      </c>
      <c r="K50" s="3683"/>
      <c r="L50" s="3683"/>
      <c r="M50" s="3683"/>
      <c r="N50" s="3683"/>
      <c r="O50" s="3683"/>
    </row>
    <row r="51" spans="1:35" ht="20.45" customHeight="1">
      <c r="A51" s="2551"/>
      <c r="B51" s="3596" t="s">
        <v>1346</v>
      </c>
      <c r="C51" s="3596"/>
      <c r="D51" s="1086"/>
      <c r="E51" s="326"/>
      <c r="F51" s="2422"/>
      <c r="G51" s="3672"/>
      <c r="H51" s="2311" t="s">
        <v>2136</v>
      </c>
      <c r="I51" s="2310"/>
      <c r="J51" s="2522" t="s">
        <v>1347</v>
      </c>
      <c r="K51" s="3664" t="s">
        <v>1348</v>
      </c>
      <c r="L51" s="3664"/>
      <c r="M51" s="2522" t="s">
        <v>1349</v>
      </c>
      <c r="N51" s="2522" t="s">
        <v>1350</v>
      </c>
      <c r="O51" s="2522" t="s">
        <v>1351</v>
      </c>
    </row>
    <row r="52" spans="1:35" ht="24" customHeight="1">
      <c r="A52" s="2334" t="s">
        <v>1352</v>
      </c>
      <c r="B52" s="3596" t="s">
        <v>1353</v>
      </c>
      <c r="C52" s="3596"/>
      <c r="D52" s="1086">
        <f ca="1">ROUND(D45*'数据-取费表'!B41/(1+'数据-取费表'!C42),0)</f>
        <v>9</v>
      </c>
      <c r="E52" s="2333" t="s">
        <v>1354</v>
      </c>
      <c r="F52" s="2552">
        <f>'数据-取费表'!B41</f>
        <v>5.5000000000000007E-2</v>
      </c>
      <c r="G52" s="2553"/>
      <c r="H52" s="2542"/>
      <c r="I52" s="1806"/>
      <c r="J52" s="2521">
        <v>1</v>
      </c>
      <c r="K52" s="3665" t="s">
        <v>1355</v>
      </c>
      <c r="L52" s="3665"/>
      <c r="M52" s="2523" t="b">
        <f>D48</f>
        <v>0</v>
      </c>
      <c r="N52" s="2521" t="str">
        <f>E48</f>
        <v>销售额×税（费）率</v>
      </c>
      <c r="O52" s="2524">
        <f>F48</f>
        <v>5.5000000000000007E-2</v>
      </c>
    </row>
    <row r="53" spans="1:35" ht="12" customHeight="1">
      <c r="A53" s="2334" t="s">
        <v>1356</v>
      </c>
      <c r="B53" s="3622" t="s">
        <v>2291</v>
      </c>
      <c r="C53" s="3623"/>
      <c r="D53" s="1086">
        <f ca="1">ROUND(D45*'数据-取费表'!B41/(1+'数据-取费表'!C42),0)</f>
        <v>9</v>
      </c>
      <c r="E53" s="2333" t="s">
        <v>1354</v>
      </c>
      <c r="F53" s="2552">
        <f>'数据-取费表'!B41</f>
        <v>5.5000000000000007E-2</v>
      </c>
      <c r="G53" s="2553"/>
      <c r="H53" s="2542"/>
      <c r="I53" s="1806"/>
      <c r="J53" s="2521">
        <v>2</v>
      </c>
      <c r="K53" s="3665" t="s">
        <v>1357</v>
      </c>
      <c r="L53" s="3665"/>
      <c r="M53" s="2523">
        <f t="shared" ref="M53:O54" ca="1" si="0">D55</f>
        <v>0</v>
      </c>
      <c r="N53" s="2521" t="str">
        <f t="shared" si="0"/>
        <v>销售额×税（费）率</v>
      </c>
      <c r="O53" s="2524" t="str">
        <f t="shared" si="0"/>
        <v>免征</v>
      </c>
    </row>
    <row r="54" spans="1:35" ht="12" customHeight="1">
      <c r="A54" s="2334" t="s">
        <v>1358</v>
      </c>
      <c r="B54" s="3622" t="s">
        <v>2292</v>
      </c>
      <c r="C54" s="3623"/>
      <c r="D54" s="1086">
        <f ca="1">C68</f>
        <v>9</v>
      </c>
      <c r="E54" s="326" t="s">
        <v>1359</v>
      </c>
      <c r="F54" s="2552">
        <f>'数据-取费表'!B41</f>
        <v>5.5000000000000007E-2</v>
      </c>
      <c r="G54" s="2553"/>
      <c r="H54" s="2554"/>
      <c r="I54" s="1806"/>
      <c r="J54" s="2521">
        <v>3</v>
      </c>
      <c r="K54" s="3665" t="s">
        <v>1360</v>
      </c>
      <c r="L54" s="3665"/>
      <c r="M54" s="2523">
        <f t="shared" ca="1" si="0"/>
        <v>99</v>
      </c>
      <c r="N54" s="2521" t="str">
        <f t="shared" si="0"/>
        <v>增值额×税（费）率</v>
      </c>
      <c r="O54" s="2525" t="str">
        <f t="shared" si="0"/>
        <v>免征</v>
      </c>
    </row>
    <row r="55" spans="1:35" ht="24" customHeight="1">
      <c r="A55" s="3611" t="s">
        <v>1361</v>
      </c>
      <c r="B55" s="3612"/>
      <c r="C55" s="3612"/>
      <c r="D55" s="2323">
        <f ca="1">IF(H55="个人住宅",0,ROUND(D45*I55,0))</f>
        <v>0</v>
      </c>
      <c r="E55" s="2333" t="s">
        <v>1362</v>
      </c>
      <c r="F55" s="2552" t="str">
        <f>IF(H55="正常",I55,"免征")</f>
        <v>免征</v>
      </c>
      <c r="G55" s="2553"/>
      <c r="H55" s="2548"/>
      <c r="I55" s="164">
        <f>'数据-取费表'!B49</f>
        <v>5.0000000000000001E-4</v>
      </c>
      <c r="J55" s="2521">
        <f>IF(H59="非个人房产","",4)</f>
        <v>4</v>
      </c>
      <c r="K55" s="3665" t="str">
        <f>IF(H59="非个人房产","——","个人所得税")</f>
        <v>个人所得税</v>
      </c>
      <c r="L55" s="3665"/>
      <c r="M55" s="2526">
        <f ca="1">D59</f>
        <v>2</v>
      </c>
      <c r="N55" s="2039" t="str">
        <f>E59</f>
        <v>差额计税</v>
      </c>
      <c r="O55" s="2527">
        <f>F59</f>
        <v>0.01</v>
      </c>
    </row>
    <row r="56" spans="1:35" ht="24.75">
      <c r="A56" s="3611" t="s">
        <v>1363</v>
      </c>
      <c r="B56" s="3612"/>
      <c r="C56" s="3612"/>
      <c r="D56" s="2323">
        <f ca="1">IF(H56="个人住宅",D57,D58)</f>
        <v>99</v>
      </c>
      <c r="E56" s="2333" t="s">
        <v>1364</v>
      </c>
      <c r="F56" s="2552" t="str">
        <f>IF(H56="正常",F58,"免征")</f>
        <v>免征</v>
      </c>
      <c r="G56" s="2555" t="s">
        <v>1365</v>
      </c>
      <c r="H56" s="2556"/>
      <c r="I56" s="1807"/>
      <c r="J56" s="2521" t="str">
        <f>IF(项目基本情况!K6="上海银行",IF(J55="",4,J55+1),"")</f>
        <v/>
      </c>
      <c r="K56" s="3688" t="str">
        <f>IF(项目基本情况!K6="上海银行","其他处置费用","")</f>
        <v/>
      </c>
      <c r="L56" s="3689"/>
      <c r="M56" s="2523" t="str">
        <f>IF(项目基本情况!K6="上海银行",M69,"")</f>
        <v/>
      </c>
      <c r="N56" s="3688" t="str">
        <f>IF(项目基本情况!K6="上海银行","包含处置中涉及的律师、诉讼、拍卖、评估等费用","")</f>
        <v/>
      </c>
      <c r="O56" s="3691"/>
    </row>
    <row r="57" spans="1:35" ht="12.75">
      <c r="A57" s="2334" t="s">
        <v>1341</v>
      </c>
      <c r="B57" s="3622" t="s">
        <v>1366</v>
      </c>
      <c r="C57" s="3623"/>
      <c r="D57" s="1589">
        <v>0</v>
      </c>
      <c r="E57" s="323" t="s">
        <v>1343</v>
      </c>
      <c r="F57" s="301"/>
      <c r="G57" s="2553"/>
      <c r="H57" s="2557"/>
      <c r="I57" s="1807"/>
      <c r="J57" s="3665">
        <f>IF(AND(J55="",J56=""),4,IF(项目基本情况!K6="上海银行",结果表!J56+1,结果表!J55+1))</f>
        <v>5</v>
      </c>
      <c r="K57" s="3665" t="s">
        <v>1367</v>
      </c>
      <c r="L57" s="2528" t="s">
        <v>1368</v>
      </c>
      <c r="M57" s="2529"/>
      <c r="N57" s="2530">
        <f ca="1">SUMIF(M52:M56,"&lt;9e307")</f>
        <v>101</v>
      </c>
      <c r="O57" s="2531"/>
      <c r="P57" s="2687">
        <f ca="1">N57/M49</f>
        <v>0.57714285714285718</v>
      </c>
    </row>
    <row r="58" spans="1:35" ht="24.75">
      <c r="A58" s="2334" t="s">
        <v>1352</v>
      </c>
      <c r="B58" s="3622" t="s">
        <v>1369</v>
      </c>
      <c r="C58" s="3596"/>
      <c r="D58" s="2323">
        <f ca="1">IF(H58="转让取得",C81,C97)</f>
        <v>99</v>
      </c>
      <c r="E58" s="2333" t="s">
        <v>1364</v>
      </c>
      <c r="F58" s="301" t="s">
        <v>28</v>
      </c>
      <c r="G58" s="2553"/>
      <c r="H58" s="2556"/>
      <c r="I58" s="1807"/>
      <c r="J58" s="3665"/>
      <c r="K58" s="3665"/>
      <c r="L58" s="2528" t="s">
        <v>1370</v>
      </c>
      <c r="M58" s="2532"/>
      <c r="N58" s="2533" t="str">
        <f ca="1">NUMBERSTRING(INT(N57*10000),2)&amp;"元整"</f>
        <v>壹佰零壹万元整</v>
      </c>
      <c r="O58" s="2534"/>
    </row>
    <row r="59" spans="1:35" ht="24.75" thickBot="1">
      <c r="A59" s="3668" t="s">
        <v>1371</v>
      </c>
      <c r="B59" s="3669"/>
      <c r="C59" s="3669"/>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66">
        <f>J57+1</f>
        <v>6</v>
      </c>
      <c r="K59" s="3665" t="s">
        <v>1372</v>
      </c>
      <c r="L59" s="2521" t="s">
        <v>1368</v>
      </c>
      <c r="M59" s="2535"/>
      <c r="N59" s="2536">
        <f ca="1">M49-N57</f>
        <v>74</v>
      </c>
      <c r="O59" s="2537"/>
    </row>
    <row r="60" spans="1:35" ht="12" customHeight="1">
      <c r="A60" s="1808"/>
      <c r="B60" s="1746"/>
      <c r="C60" s="1746"/>
      <c r="D60" s="1746"/>
      <c r="E60" s="1577"/>
      <c r="F60" s="1807"/>
      <c r="G60" s="1807"/>
      <c r="H60" s="1809"/>
      <c r="I60" s="128"/>
      <c r="J60" s="3667"/>
      <c r="K60" s="3665"/>
      <c r="L60" s="2528" t="s">
        <v>1370</v>
      </c>
      <c r="M60" s="2532"/>
      <c r="N60" s="2533" t="str">
        <f ca="1">NUMBERSTRING(INT(N59*10000),2)&amp;"元整"</f>
        <v>柒拾肆万元整</v>
      </c>
      <c r="O60" s="2534"/>
    </row>
    <row r="61" spans="1:35" ht="13.5" thickBot="1">
      <c r="A61" s="3609" t="s">
        <v>1373</v>
      </c>
      <c r="B61" s="3609"/>
      <c r="C61" s="3609"/>
      <c r="D61" s="3609"/>
      <c r="E61" s="3609"/>
      <c r="F61" s="1807"/>
      <c r="G61" s="1807"/>
      <c r="H61" s="1809"/>
      <c r="I61" s="128"/>
      <c r="J61" s="2521">
        <f>J59+1</f>
        <v>7</v>
      </c>
      <c r="K61" s="3665" t="s">
        <v>1374</v>
      </c>
      <c r="L61" s="3665"/>
      <c r="M61" s="2538"/>
      <c r="N61" s="2539">
        <f ca="1">ROUND(N59*10000/'数据-汇总表'!E3,0)</f>
        <v>4248</v>
      </c>
      <c r="O61" s="2540"/>
    </row>
    <row r="62" spans="1:35" ht="12.75">
      <c r="A62" s="3627" t="s">
        <v>1375</v>
      </c>
      <c r="B62" s="3628"/>
      <c r="C62" s="2020"/>
      <c r="D62" s="2020" t="s">
        <v>1376</v>
      </c>
      <c r="E62" s="165" t="s">
        <v>1377</v>
      </c>
      <c r="F62" s="1807"/>
      <c r="G62" s="1807"/>
      <c r="H62" s="1809"/>
      <c r="I62" s="128"/>
    </row>
    <row r="63" spans="1:35" ht="12.75">
      <c r="A63" s="172" t="s">
        <v>330</v>
      </c>
      <c r="B63" s="166" t="s">
        <v>1378</v>
      </c>
      <c r="C63" s="2562">
        <f ca="1">ROUND((C64+C65)/(1+'数据-取费表'!C42),0)</f>
        <v>167</v>
      </c>
      <c r="D63" s="166"/>
      <c r="E63" s="167"/>
      <c r="F63" s="1807"/>
      <c r="G63" s="1807"/>
      <c r="H63" s="1809"/>
      <c r="I63" s="128"/>
      <c r="J63" s="3690" t="s">
        <v>1379</v>
      </c>
      <c r="K63" s="1331" t="s">
        <v>1380</v>
      </c>
      <c r="L63" s="1331">
        <f ca="1">IF(M49&gt;10000,M49*0.5%,IF(AND(M49&gt;1000,M49&lt;=10000),M49*1%,IF(AND(M49&gt;100,M49&lt;=1000),M49*3%,IF(AND(M49&gt;10,M49&lt;=100),M49*5%,M49*8%))))</f>
        <v>5.25</v>
      </c>
      <c r="M63" s="301">
        <f ca="1">ROUND(L63,1)</f>
        <v>5.3</v>
      </c>
      <c r="N63" s="2541"/>
      <c r="Z63" s="1751"/>
      <c r="AI63" s="1752"/>
    </row>
    <row r="64" spans="1:35" ht="14.25" customHeight="1">
      <c r="A64" s="168" t="s">
        <v>325</v>
      </c>
      <c r="B64" s="169" t="s">
        <v>1381</v>
      </c>
      <c r="C64" s="2563">
        <f ca="1">D45</f>
        <v>175</v>
      </c>
      <c r="D64" s="169" t="s">
        <v>26</v>
      </c>
      <c r="E64" s="171"/>
      <c r="F64" s="1807"/>
      <c r="G64" s="1807"/>
      <c r="H64" s="1809"/>
      <c r="I64" s="128"/>
      <c r="J64" s="3690"/>
      <c r="K64" s="1331" t="s">
        <v>1382</v>
      </c>
      <c r="L64" s="1331">
        <f ca="1">IF(M49&gt;2000,M49*0.5%,IF(AND(M49&gt;1000,M49&lt;=2000),M49*0.6%,IF(AND(M49&gt;500,M49&lt;=1000),M49*0.7%,IF(AND(M49&gt;200,M49&lt;=500),M49*0.8%,IF(AND(M49&gt;100,M49&lt;=200),M49*0.9%,IF(AND(M49&gt;50,M49&lt;=100),M49*1%,IF(AND(M49&gt;20,M49&lt;=50),M49*1.5%,IF(AND(M49&gt;10,M49&lt;=20),M49*2%,IF(AND(M49&gt;1,M49&lt;=10),M49*2.5%)))))))))</f>
        <v>1.5750000000000002</v>
      </c>
      <c r="M64" s="301">
        <f t="shared" ref="M64:M65" ca="1" si="1">ROUND(L64,1)</f>
        <v>1.6</v>
      </c>
      <c r="N64" s="2542" t="s">
        <v>1383</v>
      </c>
      <c r="Z64" s="1751"/>
      <c r="AI64" s="1752"/>
    </row>
    <row r="65" spans="1:35" ht="14.25" customHeight="1">
      <c r="A65" s="168" t="s">
        <v>326</v>
      </c>
      <c r="B65" s="169" t="s">
        <v>1384</v>
      </c>
      <c r="C65" s="2564"/>
      <c r="D65" s="169"/>
      <c r="E65" s="171"/>
      <c r="F65" s="1807"/>
      <c r="G65" s="1807"/>
      <c r="H65" s="1809"/>
      <c r="I65" s="128"/>
      <c r="J65" s="3690"/>
      <c r="K65" s="1331" t="s">
        <v>1385</v>
      </c>
      <c r="L65" s="1331">
        <f ca="1">IF(M49&gt;1000,M49*0.1%,IF(AND(M49&gt;500,M49&lt;=1000),M49*0.5%,IF(AND(M49&gt;50,M49&lt;=500),M49*1%,IF(AND(M49&gt;1,M49&lt;=50),M49*1.5%))))</f>
        <v>1.75</v>
      </c>
      <c r="M65" s="301">
        <f t="shared" ca="1" si="1"/>
        <v>1.8</v>
      </c>
      <c r="N65" s="2542" t="s">
        <v>1383</v>
      </c>
      <c r="Z65" s="1751"/>
      <c r="AI65" s="1752"/>
    </row>
    <row r="66" spans="1:35" ht="14.25" customHeight="1">
      <c r="A66" s="172" t="s">
        <v>327</v>
      </c>
      <c r="B66" s="173" t="s">
        <v>1386</v>
      </c>
      <c r="C66" s="2565"/>
      <c r="D66" s="173" t="s">
        <v>26</v>
      </c>
      <c r="E66" s="1337" t="s">
        <v>671</v>
      </c>
      <c r="F66" s="1807"/>
      <c r="G66" s="1807"/>
      <c r="H66" s="1809"/>
      <c r="I66" s="128"/>
      <c r="J66" s="3690"/>
      <c r="K66" s="1331" t="s">
        <v>1387</v>
      </c>
      <c r="L66" s="1331">
        <f ca="1">M49*0.5%</f>
        <v>0.875</v>
      </c>
      <c r="M66" s="301">
        <f ca="1">IF(L66&gt;0.5,0.5,ROUND(L66,0))</f>
        <v>0.5</v>
      </c>
      <c r="N66" s="2542" t="s">
        <v>1388</v>
      </c>
      <c r="Z66" s="1751"/>
      <c r="AI66" s="1752"/>
    </row>
    <row r="67" spans="1:35" ht="14.25" customHeight="1">
      <c r="A67" s="172" t="s">
        <v>328</v>
      </c>
      <c r="B67" s="173" t="s">
        <v>1389</v>
      </c>
      <c r="C67" s="2566">
        <f ca="1">C63-C66</f>
        <v>167</v>
      </c>
      <c r="D67" s="169" t="s">
        <v>26</v>
      </c>
      <c r="E67" s="171"/>
      <c r="F67" s="1807"/>
      <c r="G67" s="1807"/>
      <c r="H67" s="1809"/>
      <c r="I67" s="128"/>
      <c r="J67" s="3690"/>
      <c r="K67" s="1331" t="s">
        <v>1390</v>
      </c>
      <c r="L67" s="1331">
        <f ca="1">IF(M49&gt;=10000,(8.25+(M49-10000)*0.01%),IF(AND(M49&gt;=8000,M49&lt;10000),(7.85+(M49-8000)*0.02%),IF(AND(M49&gt;=5000,M49&lt;8000),(6.65+(M49-5000)*0.04%),IF(AND(M49&gt;=2000,M49&lt;5000),(4.25+(PM49-2000)*0.08%),IF(AND(M49&gt;=1000,M49&lt;2000),(2.75+(M49-1000)*0.15%),IF(AND(M49&gt;=100,M49&lt;1000),(0.5+(M49-100)*0.25%),IF(AND(M49&gt;0,M49&lt;100),M49*0.5%)))))))</f>
        <v>0.6875</v>
      </c>
      <c r="M67" s="301">
        <f ca="1">ROUND(L67*0.9,1)</f>
        <v>0.6</v>
      </c>
      <c r="N67" s="2541"/>
      <c r="Z67" s="1751"/>
      <c r="AI67" s="1752"/>
    </row>
    <row r="68" spans="1:35" ht="14.25" customHeight="1" thickBot="1">
      <c r="A68" s="175" t="s">
        <v>329</v>
      </c>
      <c r="B68" s="176" t="s">
        <v>1391</v>
      </c>
      <c r="C68" s="2567">
        <f ca="1">IF(C67&lt;=0,0,ROUND(C67*D68,0))</f>
        <v>9</v>
      </c>
      <c r="D68" s="2568">
        <f>'数据-取费表'!B41</f>
        <v>5.5000000000000007E-2</v>
      </c>
      <c r="E68" s="177"/>
      <c r="F68" s="1807"/>
      <c r="G68" s="1807"/>
      <c r="H68" s="1809"/>
      <c r="I68" s="128"/>
      <c r="J68" s="3690"/>
      <c r="K68" s="1331" t="s">
        <v>1392</v>
      </c>
      <c r="L68" s="1331">
        <f ca="1">IF(M49&gt;10000,M49*0.5%,IF(AND(M49&gt;5000,M49&lt;=10000),M49*1%,IF(AND(M49&gt;1000,M49&lt;=5000),M49*2%,IF(AND(M49&gt;200,M49&lt;=1000),M49*3%,M49*5%))))</f>
        <v>8.75</v>
      </c>
      <c r="M68" s="301">
        <f ca="1">ROUND(L68,1)</f>
        <v>8.8000000000000007</v>
      </c>
      <c r="N68" s="2541"/>
      <c r="Z68" s="1751"/>
      <c r="AI68" s="1752"/>
    </row>
    <row r="69" spans="1:35" s="1771" customFormat="1" ht="16.5" customHeight="1">
      <c r="A69" s="1810"/>
      <c r="B69" s="1811"/>
      <c r="C69" s="1812"/>
      <c r="D69" s="1813"/>
      <c r="E69" s="1814"/>
      <c r="F69" s="1577"/>
      <c r="G69" s="1577"/>
      <c r="H69" s="1576"/>
      <c r="I69" s="1746"/>
      <c r="J69" s="3690"/>
      <c r="K69" s="1331" t="s">
        <v>1393</v>
      </c>
      <c r="L69" s="1331"/>
      <c r="M69" s="301">
        <f ca="1">ROUND(SUM(M63:M68),0)</f>
        <v>19</v>
      </c>
      <c r="N69" s="2543">
        <f ca="1">M69/M49</f>
        <v>0.10857142857142857</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51" t="s">
        <v>1394</v>
      </c>
      <c r="B70" s="3652"/>
      <c r="C70" s="3652"/>
      <c r="D70" s="3652"/>
      <c r="E70" s="3652"/>
      <c r="F70" s="3652"/>
      <c r="G70" s="3652"/>
      <c r="H70" s="3652"/>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7" t="s">
        <v>1375</v>
      </c>
      <c r="B71" s="3628"/>
      <c r="C71" s="2020"/>
      <c r="D71" s="2020" t="s">
        <v>1376</v>
      </c>
      <c r="E71" s="178" t="s">
        <v>1377</v>
      </c>
      <c r="F71" s="179"/>
      <c r="G71" s="179"/>
      <c r="H71" s="180"/>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6">
        <f ca="1">ROUND(D45/(1+'数据-取费表'!C42),0)</f>
        <v>167</v>
      </c>
      <c r="D72" s="169" t="s">
        <v>26</v>
      </c>
      <c r="E72" s="2330"/>
      <c r="F72" s="2329"/>
      <c r="G72" s="2329"/>
      <c r="H72" s="181"/>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6">
        <f ca="1">C74+C78</f>
        <v>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69"/>
      <c r="D75" s="169" t="s">
        <v>26</v>
      </c>
      <c r="E75" s="183" t="s">
        <v>1399</v>
      </c>
      <c r="F75" s="2570"/>
      <c r="G75" s="183"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2">
        <v>0.05</v>
      </c>
      <c r="E76" s="3622" t="s">
        <v>1402</v>
      </c>
      <c r="F76" s="3596"/>
      <c r="G76" s="3596"/>
      <c r="H76" s="365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3">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4">
        <f ca="1">ROUND(D45*D78/(1+'数据-取费表'!C42),0)</f>
        <v>1</v>
      </c>
      <c r="D78" s="2575">
        <f>'数据-取费表'!B43</f>
        <v>5.000000000000001E-3</v>
      </c>
      <c r="E78" s="3606" t="s">
        <v>1406</v>
      </c>
      <c r="F78" s="3607"/>
      <c r="G78" s="3607"/>
      <c r="H78" s="361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6">
        <f ca="1">C72-C73</f>
        <v>166</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6">
        <f ca="1">IF(C79&lt;=0,0,C79/C73)</f>
        <v>166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7">
        <f ca="1">ROUND(IF(C79&lt;=0,0,IF(C80&gt;=200%,C79*60%-C73*35%,IF(C80&gt;=100%,C79*50%-C73*15%,IF(C80&gt;=50%,C79*40%-C73*5%,IF(C80&lt;50%,C79*30%,0))))),0)</f>
        <v>99</v>
      </c>
      <c r="D81" s="2578"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1" t="s">
        <v>1410</v>
      </c>
      <c r="B83" s="3652"/>
      <c r="C83" s="3652"/>
      <c r="D83" s="3652"/>
      <c r="E83" s="3652"/>
      <c r="F83" s="3652"/>
      <c r="G83" s="3652"/>
      <c r="H83" s="365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7" t="s">
        <v>1375</v>
      </c>
      <c r="B84" s="3628"/>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6">
        <f ca="1">ROUND(D45/(1+'数据-取费表'!C42),0)</f>
        <v>167</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6">
        <f ca="1">IF(H88="仅含出让金",C87+C90+C91+C92+C93+C94,C87+C91+C92+C93+C94)</f>
        <v>1</v>
      </c>
      <c r="D86" s="2579"/>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0"/>
      <c r="D88" s="2575"/>
      <c r="E88" s="192" t="s">
        <v>1413</v>
      </c>
      <c r="F88" s="2326"/>
      <c r="G88" s="193"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4">
        <f>ROUND(C88*D89,0)</f>
        <v>0</v>
      </c>
      <c r="D89" s="2575">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0"/>
      <c r="D90" s="2575"/>
      <c r="E90" s="192" t="str">
        <f>IF(H88="-","土地取得成本中已包含该笔费用"," ")</f>
        <v xml:space="preserve"> </v>
      </c>
      <c r="F90" s="2326"/>
      <c r="G90" s="3692" t="s">
        <v>2129</v>
      </c>
      <c r="H90" s="3693"/>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4">
        <f>IF(H91="——",成本法!C33,I91)</f>
        <v>0</v>
      </c>
      <c r="D91" s="2575"/>
      <c r="E91" s="3606" t="s">
        <v>1419</v>
      </c>
      <c r="F91" s="3607"/>
      <c r="G91" s="360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4">
        <f>ROUND((C87+C90+C91)*D92,0)</f>
        <v>0</v>
      </c>
      <c r="D92" s="2581"/>
      <c r="E92" s="3606" t="s">
        <v>1422</v>
      </c>
      <c r="F92" s="3607"/>
      <c r="G92" s="3607"/>
      <c r="H92" s="3616"/>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4">
        <f ca="1">ROUND(D45*D93/(1+'数据-取费表'!C42),0)</f>
        <v>1</v>
      </c>
      <c r="D93" s="2575">
        <f>'数据-取费表'!B43</f>
        <v>5.000000000000001E-3</v>
      </c>
      <c r="E93" s="3606" t="s">
        <v>1406</v>
      </c>
      <c r="F93" s="3607"/>
      <c r="G93" s="3607"/>
      <c r="H93" s="361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0">
        <f>ROUND((C87+C90+C91)*D94,0)</f>
        <v>0</v>
      </c>
      <c r="D94" s="2575">
        <v>0.2</v>
      </c>
      <c r="E94" s="3617" t="s">
        <v>1426</v>
      </c>
      <c r="F94" s="3618"/>
      <c r="G94" s="3618"/>
      <c r="H94" s="361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6">
        <f ca="1">ROUND(C85-C86,0)</f>
        <v>166</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6">
        <f ca="1">IF(C95&lt;=0,0,C95/C86)</f>
        <v>166</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7">
        <f ca="1">ROUND(IF(C95&lt;=0,0,IF(C96&gt;=200%,C95*60%-C86*35%,IF(C96&gt;=100%,C95*50%-C86*15%,IF(C96&gt;=50%,C95*40%-C86*5%,IF(C96&lt;50%,C95*30%,0))))),0)</f>
        <v>99</v>
      </c>
      <c r="D97" s="2578"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90" t="s">
        <v>1428</v>
      </c>
      <c r="B100" s="3591"/>
      <c r="C100" s="3591"/>
      <c r="D100" s="3608"/>
      <c r="E100" s="3591" t="s">
        <v>1429</v>
      </c>
      <c r="F100" s="3591"/>
      <c r="G100" s="3591"/>
      <c r="H100" s="3608"/>
      <c r="I100" s="128"/>
    </row>
    <row r="101" spans="1:35" ht="18.75" customHeight="1">
      <c r="A101" s="3673" t="s">
        <v>1430</v>
      </c>
      <c r="B101" s="3674"/>
      <c r="C101" s="2583" t="str">
        <f>C4</f>
        <v>成本法 (元)</v>
      </c>
      <c r="D101" s="2584" t="str">
        <f>D4</f>
        <v>收益法 (元)</v>
      </c>
      <c r="E101" s="3687" t="s">
        <v>1431</v>
      </c>
      <c r="F101" s="3643"/>
      <c r="G101" s="1826" t="s">
        <v>1432</v>
      </c>
      <c r="H101" s="2593">
        <f ca="1">H118</f>
        <v>175</v>
      </c>
      <c r="I101" s="128"/>
    </row>
    <row r="102" spans="1:35" ht="18.75" customHeight="1">
      <c r="A102" s="3645" t="s">
        <v>1433</v>
      </c>
      <c r="B102" s="2582" t="s">
        <v>1432</v>
      </c>
      <c r="C102" s="2583">
        <f ca="1">IF(D32="楼面单价",ROUND(C19,0),C19)</f>
        <v>221</v>
      </c>
      <c r="D102" s="2584">
        <f ca="1">IF(D32="楼面单价",ROUND(D19,0),D19)</f>
        <v>144</v>
      </c>
      <c r="E102" s="3687"/>
      <c r="F102" s="3643"/>
      <c r="G102" s="1826" t="s">
        <v>1434</v>
      </c>
      <c r="H102" s="2553">
        <f ca="1">I118</f>
        <v>10020</v>
      </c>
      <c r="I102" s="128"/>
    </row>
    <row r="103" spans="1:35" ht="42.75" customHeight="1">
      <c r="A103" s="3645"/>
      <c r="B103" s="2582" t="s">
        <v>1434</v>
      </c>
      <c r="C103" s="2585">
        <f ca="1">C20</f>
        <v>12663</v>
      </c>
      <c r="D103" s="2586">
        <f ca="1">D20</f>
        <v>8258</v>
      </c>
      <c r="E103" s="3681" t="s">
        <v>1435</v>
      </c>
      <c r="F103" s="3682"/>
      <c r="G103" s="1827" t="s">
        <v>1436</v>
      </c>
      <c r="H103" s="2593">
        <f>IF(D36="正常操作",H104+H105+H106,H105+H106)</f>
        <v>0</v>
      </c>
      <c r="I103" s="128"/>
    </row>
    <row r="104" spans="1:35" ht="18.75" customHeight="1">
      <c r="A104" s="3645" t="s">
        <v>1437</v>
      </c>
      <c r="B104" s="2587" t="s">
        <v>1432</v>
      </c>
      <c r="C104" s="2588">
        <f ca="1">H118</f>
        <v>175</v>
      </c>
      <c r="D104" s="2589"/>
      <c r="E104" s="1673" t="s">
        <v>1438</v>
      </c>
      <c r="F104" s="1665"/>
      <c r="G104" s="1827" t="s">
        <v>1436</v>
      </c>
      <c r="H104" s="2594">
        <f>IF(D36="同一抵押权人同一抵押物续贷",C36&amp;"（续贷，未扣减，详见特别提示）",C36)</f>
        <v>0</v>
      </c>
      <c r="I104" s="128"/>
    </row>
    <row r="105" spans="1:35" ht="18.75" customHeight="1" thickBot="1">
      <c r="A105" s="3646"/>
      <c r="B105" s="2590" t="s">
        <v>1434</v>
      </c>
      <c r="C105" s="2591">
        <f ca="1">I118</f>
        <v>10020</v>
      </c>
      <c r="D105" s="2592"/>
      <c r="E105" s="1673" t="s">
        <v>1439</v>
      </c>
      <c r="F105" s="1665"/>
      <c r="G105" s="1827" t="s">
        <v>1436</v>
      </c>
      <c r="H105" s="2595">
        <f>C37</f>
        <v>0</v>
      </c>
      <c r="I105" s="128"/>
    </row>
    <row r="106" spans="1:35" ht="18.75" customHeight="1">
      <c r="A106" s="1746" t="s">
        <v>1440</v>
      </c>
      <c r="B106" s="1746"/>
      <c r="C106" s="1746"/>
      <c r="D106" s="1746"/>
      <c r="E106" s="1828" t="s">
        <v>1441</v>
      </c>
      <c r="F106" s="1665"/>
      <c r="G106" s="1827" t="s">
        <v>1436</v>
      </c>
      <c r="H106" s="2595">
        <f>C38</f>
        <v>0</v>
      </c>
      <c r="I106" s="128"/>
    </row>
    <row r="107" spans="1:35" ht="18.75" customHeight="1">
      <c r="A107" s="128"/>
      <c r="B107" s="128"/>
      <c r="C107" s="128"/>
      <c r="D107" s="128"/>
      <c r="E107" s="3642" t="str">
        <f>IF(项目基本情况!E8="已注销","——","3.房地产抵押价值")</f>
        <v>3.房地产抵押价值</v>
      </c>
      <c r="F107" s="3643"/>
      <c r="G107" s="1826" t="s">
        <v>1432</v>
      </c>
      <c r="H107" s="2593">
        <f ca="1">IF(E107="——","——",H101-H103)</f>
        <v>175</v>
      </c>
      <c r="I107" s="128"/>
    </row>
    <row r="108" spans="1:35" ht="18.75" customHeight="1">
      <c r="A108" s="128"/>
      <c r="B108" s="128"/>
      <c r="C108" s="128"/>
      <c r="D108" s="128"/>
      <c r="E108" s="3642"/>
      <c r="F108" s="3643"/>
      <c r="G108" s="1826" t="s">
        <v>1434</v>
      </c>
      <c r="H108" s="2553">
        <f ca="1">IF(H107=H101,H102,ROUND(H107*10000/'数据-汇总表'!E3,0))</f>
        <v>10020</v>
      </c>
      <c r="I108" s="128"/>
    </row>
    <row r="109" spans="1:35" ht="18.75" customHeight="1">
      <c r="A109" s="128"/>
      <c r="B109" s="128"/>
      <c r="C109" s="128"/>
      <c r="D109" s="128"/>
      <c r="E109" s="3642" t="str">
        <f>IF(项目基本情况!E8="已注销及未注销","4.抵押担保权已注销时的房地产抵押价值",IF(项目基本情况!E8="已注销","3.抵押担保权已注销时的房地产抵押价值","——"))</f>
        <v>——</v>
      </c>
      <c r="F109" s="3643"/>
      <c r="G109" s="1826" t="s">
        <v>1432</v>
      </c>
      <c r="H109" s="2596" t="str">
        <f>IF(E109="——","——",H101-H105-H106)</f>
        <v>——</v>
      </c>
      <c r="I109" s="128"/>
    </row>
    <row r="110" spans="1:35" ht="18.75" customHeight="1">
      <c r="A110" s="128"/>
      <c r="B110" s="128"/>
      <c r="C110" s="128"/>
      <c r="D110" s="128"/>
      <c r="E110" s="3642"/>
      <c r="F110" s="3643"/>
      <c r="G110" s="1826" t="s">
        <v>1434</v>
      </c>
      <c r="H110" s="2553" t="str">
        <f>IF(H109="——","——",ROUND(H109*10000/'数据-汇总表'!E3,0))</f>
        <v>——</v>
      </c>
      <c r="I110" s="128"/>
    </row>
    <row r="111" spans="1:35" ht="18.75" customHeight="1">
      <c r="A111" s="128"/>
      <c r="B111" s="128"/>
      <c r="C111" s="128"/>
      <c r="D111" s="128"/>
      <c r="E111" s="3675" t="str">
        <f>IF(项目基本情况!E9="抵押净值",IF(OR(项目基本情况!E8="已注销",项目基本情况!E8="房地产抵押价值"),"4.抵押净值","5.抵押净值"),"——")</f>
        <v>——</v>
      </c>
      <c r="F111" s="3644"/>
      <c r="G111" s="1826" t="s">
        <v>1432</v>
      </c>
      <c r="H111" s="2593" t="str">
        <f>IF(E111="——","——",N59)</f>
        <v>——</v>
      </c>
      <c r="I111" s="128"/>
    </row>
    <row r="112" spans="1:35" ht="18.75" customHeight="1" thickBot="1">
      <c r="A112" s="128"/>
      <c r="B112" s="128"/>
      <c r="C112" s="128"/>
      <c r="D112" s="128"/>
      <c r="E112" s="3676"/>
      <c r="F112" s="3677"/>
      <c r="G112" s="1829" t="s">
        <v>1434</v>
      </c>
      <c r="H112" s="2597" t="str">
        <f>IF(E111="——","——",N61)</f>
        <v>——</v>
      </c>
      <c r="I112" s="128"/>
    </row>
    <row r="113" spans="1:27" ht="18.75" customHeight="1">
      <c r="A113" s="128"/>
      <c r="B113" s="128"/>
      <c r="C113" s="128"/>
      <c r="D113" s="128"/>
      <c r="E113" s="3647" t="s">
        <v>1440</v>
      </c>
      <c r="F113" s="3647"/>
      <c r="G113" s="3647"/>
      <c r="H113" s="3647"/>
      <c r="I113" s="128"/>
    </row>
    <row r="114" spans="1:27" ht="3.75" customHeight="1">
      <c r="A114" s="1746"/>
      <c r="B114" s="1746"/>
      <c r="C114" s="1746"/>
      <c r="D114" s="1746"/>
      <c r="E114" s="1808"/>
      <c r="F114" s="1808"/>
      <c r="G114" s="1808"/>
      <c r="H114" s="1808"/>
      <c r="I114" s="1746"/>
    </row>
    <row r="115" spans="1:27" ht="18.75" customHeight="1">
      <c r="A115" s="3657" t="s">
        <v>1442</v>
      </c>
      <c r="B115" s="3658"/>
      <c r="C115" s="3658"/>
      <c r="D115" s="3658"/>
      <c r="E115" s="3658"/>
      <c r="F115" s="3658"/>
      <c r="G115" s="3658"/>
      <c r="H115" s="3658"/>
      <c r="I115" s="3659"/>
    </row>
    <row r="116" spans="1:27" ht="27" customHeight="1">
      <c r="A116" s="3610" t="s">
        <v>1443</v>
      </c>
      <c r="B116" s="3648" t="s">
        <v>1444</v>
      </c>
      <c r="C116" s="3648" t="s">
        <v>1445</v>
      </c>
      <c r="D116" s="3662" t="s">
        <v>1446</v>
      </c>
      <c r="E116" s="3663"/>
      <c r="F116" s="3656" t="s">
        <v>1447</v>
      </c>
      <c r="G116" s="3656"/>
      <c r="H116" s="3610" t="s">
        <v>1448</v>
      </c>
      <c r="I116" s="3610"/>
    </row>
    <row r="117" spans="1:27" ht="18.75" customHeight="1">
      <c r="A117" s="3610"/>
      <c r="B117" s="3649"/>
      <c r="C117" s="3649"/>
      <c r="D117" s="2328" t="s">
        <v>1449</v>
      </c>
      <c r="E117" s="2328" t="s">
        <v>1450</v>
      </c>
      <c r="F117" s="2328" t="s">
        <v>1449</v>
      </c>
      <c r="G117" s="2328" t="s">
        <v>1451</v>
      </c>
      <c r="H117" s="2328" t="s">
        <v>1449</v>
      </c>
      <c r="I117" s="2328" t="s">
        <v>1451</v>
      </c>
    </row>
    <row r="118" spans="1:27" ht="24.75" customHeight="1">
      <c r="A118" s="2598" t="str">
        <f>项目基本情况!S2</f>
        <v>北京市密云县车站路59号楼1至2层3商业综合用房房地产</v>
      </c>
      <c r="B118" s="2328">
        <f>M18</f>
        <v>174.21</v>
      </c>
      <c r="C118" s="2328">
        <f>M19</f>
        <v>0</v>
      </c>
      <c r="D118" s="2328">
        <f ca="1">ROUND(IF(D32="总价",C34,E118*B118/10000),0)</f>
        <v>121</v>
      </c>
      <c r="E118" s="2328">
        <f ca="1">ROUND(IF(C33="自定义",IF(D32="楼面单价",C34,D118*10000/B118),I118-G118),0)</f>
        <v>6964</v>
      </c>
      <c r="F118" s="2328">
        <f ca="1">ROUND(IF(D32="总价",C35,G118*B118/10000),0)</f>
        <v>53</v>
      </c>
      <c r="G118" s="2328">
        <f ca="1">ROUND(IF(D32="楼面单价",C35,F118*10000/B118),0)</f>
        <v>3056</v>
      </c>
      <c r="H118" s="2328">
        <f ca="1">ROUND(IF(D32="总价",C32,I118*B118/10000),0)</f>
        <v>175</v>
      </c>
      <c r="I118" s="2328">
        <f ca="1">ROUND(IF(D32="楼面单价",C32,H118*10000/B118),0)</f>
        <v>10020</v>
      </c>
    </row>
    <row r="119" spans="1:27" ht="18.75" customHeight="1">
      <c r="A119" s="3610" t="s">
        <v>1452</v>
      </c>
      <c r="B119" s="3610"/>
      <c r="C119" s="3610"/>
      <c r="D119" s="3653" t="str">
        <f ca="1">NUMBERSTRING(INT(D118*10000),2)&amp;"元整"</f>
        <v>壹佰贰拾壹万元整</v>
      </c>
      <c r="E119" s="3655"/>
      <c r="F119" s="3653" t="str">
        <f ca="1">NUMBERSTRING(INT(F118*10000),2)&amp;"元整"</f>
        <v>伍拾叁万元整</v>
      </c>
      <c r="G119" s="3655"/>
      <c r="H119" s="3653" t="str">
        <f ca="1">NUMBERSTRING(INT(H118*10000),2)&amp;"元整"</f>
        <v>壹佰柒拾伍万元整</v>
      </c>
      <c r="I119" s="3655"/>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53" t="s">
        <v>1452</v>
      </c>
      <c r="B121" s="3654"/>
      <c r="C121" s="3655"/>
      <c r="D121" s="3653" t="str">
        <f>IF(D120=0,"零元整",NUMBERSTRING(INT(D120*10000),2)&amp;"元整")</f>
        <v>零元整</v>
      </c>
      <c r="E121" s="3654"/>
      <c r="F121" s="3654"/>
      <c r="G121" s="3654"/>
      <c r="H121" s="3654"/>
      <c r="I121" s="3655"/>
      <c r="AA121" s="724"/>
    </row>
    <row r="122" spans="1:27" ht="18.75" customHeight="1">
      <c r="A122" s="3644" t="str">
        <f>IF(项目基本情况!B9="房地产市场价值","",MID(E107,3,LEN(E107)-2))</f>
        <v>房地产抵押价值</v>
      </c>
      <c r="B122" s="3644"/>
      <c r="C122" s="3644"/>
      <c r="D122" s="3678">
        <f ca="1">H107</f>
        <v>175</v>
      </c>
      <c r="E122" s="3679"/>
      <c r="F122" s="3679"/>
      <c r="G122" s="3679"/>
      <c r="H122" s="3679"/>
      <c r="I122" s="3680"/>
      <c r="AA122" s="724"/>
    </row>
    <row r="123" spans="1:27" ht="18.75" customHeight="1">
      <c r="A123" s="3610" t="s">
        <v>1452</v>
      </c>
      <c r="B123" s="3610"/>
      <c r="C123" s="3610"/>
      <c r="D123" s="3653" t="str">
        <f ca="1">NUMBERSTRING(INT(D122*10000),2)&amp;"元整"</f>
        <v>壹佰柒拾伍万元整</v>
      </c>
      <c r="E123" s="3654"/>
      <c r="F123" s="3654"/>
      <c r="G123" s="3654"/>
      <c r="H123" s="3654"/>
      <c r="I123" s="3655"/>
      <c r="AA123" s="724"/>
    </row>
    <row r="124" spans="1:27" ht="18.75" customHeight="1">
      <c r="A124" s="3644" t="str">
        <f>IF(项目基本情况!B9="房地产市场价值","",MID(E109,3,LEN(E109)-2))</f>
        <v/>
      </c>
      <c r="B124" s="3644"/>
      <c r="C124" s="3644"/>
      <c r="D124" s="3678" t="str">
        <f>H109</f>
        <v>——</v>
      </c>
      <c r="E124" s="3679"/>
      <c r="F124" s="3679"/>
      <c r="G124" s="3679"/>
      <c r="H124" s="3679"/>
      <c r="I124" s="3680"/>
      <c r="AA124" s="724"/>
    </row>
    <row r="125" spans="1:27" ht="18.75" customHeight="1">
      <c r="A125" s="3610" t="s">
        <v>1452</v>
      </c>
      <c r="B125" s="3610"/>
      <c r="C125" s="3610"/>
      <c r="D125" s="3653" t="e">
        <f>NUMBERSTRING(INT(D124*10000),2)&amp;"元整"</f>
        <v>#VALUE!</v>
      </c>
      <c r="E125" s="3654"/>
      <c r="F125" s="3654"/>
      <c r="G125" s="3654"/>
      <c r="H125" s="3654"/>
      <c r="I125" s="3655"/>
      <c r="AA125" s="724"/>
    </row>
    <row r="126" spans="1:27" ht="18.75" customHeight="1">
      <c r="A126" s="3644" t="str">
        <f>IF(项目基本情况!B9="房地产市场价值","",MID(E111,3,LEN(E111)-2))</f>
        <v/>
      </c>
      <c r="B126" s="3644"/>
      <c r="C126" s="3644"/>
      <c r="D126" s="3678" t="str">
        <f>H111</f>
        <v>——</v>
      </c>
      <c r="E126" s="3679"/>
      <c r="F126" s="3679"/>
      <c r="G126" s="3679"/>
      <c r="H126" s="3679"/>
      <c r="I126" s="3680"/>
      <c r="AA126" s="724"/>
    </row>
    <row r="127" spans="1:27" ht="18.75" customHeight="1">
      <c r="A127" s="3610" t="s">
        <v>1452</v>
      </c>
      <c r="B127" s="3610"/>
      <c r="C127" s="3610"/>
      <c r="D127" s="3653" t="e">
        <f>NUMBERSTRING(INT(D126*10000),2)&amp;"元整"</f>
        <v>#VALUE!</v>
      </c>
      <c r="E127" s="3654"/>
      <c r="F127" s="3654"/>
      <c r="G127" s="3654"/>
      <c r="H127" s="3654"/>
      <c r="I127" s="3655"/>
      <c r="AA127" s="724"/>
    </row>
    <row r="128" spans="1:27" ht="21.75" customHeight="1">
      <c r="A128" s="3661" t="s">
        <v>1453</v>
      </c>
      <c r="B128" s="3661"/>
      <c r="C128" s="3661"/>
      <c r="D128" s="3661"/>
      <c r="E128" s="3661"/>
      <c r="F128" s="3661"/>
      <c r="G128" s="3661"/>
      <c r="H128" s="3661"/>
      <c r="I128" s="366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219</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12571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109.31</v>
      </c>
      <c r="D5" s="210" t="s">
        <v>1469</v>
      </c>
      <c r="E5" s="211" t="s">
        <v>1470</v>
      </c>
      <c r="F5" s="211" t="s">
        <v>1471</v>
      </c>
      <c r="G5" s="212"/>
    </row>
    <row r="6" spans="1:9" s="213" customFormat="1" ht="13.5" customHeight="1">
      <c r="A6" s="777" t="s">
        <v>1472</v>
      </c>
      <c r="B6" s="214" t="s">
        <v>1473</v>
      </c>
      <c r="C6" s="215">
        <f>基准地价修正!B2</f>
        <v>103</v>
      </c>
      <c r="D6" s="216"/>
      <c r="E6" s="217"/>
      <c r="F6" s="217"/>
      <c r="G6" s="218"/>
    </row>
    <row r="7" spans="1:9" s="213" customFormat="1" ht="13.5" customHeight="1">
      <c r="A7" s="777" t="s">
        <v>1474</v>
      </c>
      <c r="B7" s="214" t="s">
        <v>1475</v>
      </c>
      <c r="C7" s="219">
        <f>ROUND(C6*F7,0)</f>
        <v>3</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3.31</v>
      </c>
      <c r="D8" s="221"/>
      <c r="E8" s="219"/>
      <c r="F8" s="220"/>
      <c r="G8" s="1855" t="s">
        <v>3414</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150</v>
      </c>
      <c r="F9" s="220"/>
      <c r="G9" s="1856" t="s">
        <v>3415</v>
      </c>
      <c r="H9" s="1136"/>
      <c r="I9" s="1857" t="s">
        <v>1479</v>
      </c>
    </row>
    <row r="10" spans="1:9" s="213" customFormat="1" ht="13.5" customHeight="1">
      <c r="A10" s="778" t="s">
        <v>356</v>
      </c>
      <c r="B10" s="223" t="s">
        <v>1480</v>
      </c>
      <c r="C10" s="224">
        <f ca="1">ROUND(D10*E10/10000,0)</f>
        <v>3</v>
      </c>
      <c r="D10" s="844">
        <f ca="1">IF(B1="",'数据-汇总表'!E6,IF(INDIRECT("'数据-取费表'!c"&amp;$G$1)="住宅",INDIRECT("'数据-取费表'!s"&amp;$G$1),INDIRECT("'数据-取费表'!k"&amp;$G$1)+INDIRECT("'数据-取费表'!s"&amp;$G$1)))</f>
        <v>174.21</v>
      </c>
      <c r="E10" s="224">
        <f>'数据-取费表'!B28</f>
        <v>190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174.21</v>
      </c>
      <c r="E19" s="210">
        <f>'数据-取费表'!B31</f>
        <v>200</v>
      </c>
      <c r="F19" s="230"/>
      <c r="G19" s="1855" t="s">
        <v>3416</v>
      </c>
    </row>
    <row r="20" spans="1:7" s="213" customFormat="1" ht="13.5" customHeight="1">
      <c r="A20" s="254" t="s">
        <v>1493</v>
      </c>
      <c r="B20" s="209" t="s">
        <v>1494</v>
      </c>
      <c r="C20" s="231">
        <f ca="1">ROUND((C5+C19)*F20,0)</f>
        <v>2</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8</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8</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22</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ROUND((C5+C19+C20)*F27*'数据-取费表'!B21/'数据-取费表'!B20,0)</f>
        <v>22</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68</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61</v>
      </c>
      <c r="D34" s="216"/>
      <c r="E34" s="219"/>
      <c r="F34" s="256">
        <f ca="1">IF('数据-取费表'!B24=0,1,IF(B1="",'数据-取费表'!N16,INDIRECT("'数据-取费表'!n"&amp;$G$1)))</f>
        <v>1</v>
      </c>
      <c r="G34" s="218" t="s">
        <v>1526</v>
      </c>
    </row>
    <row r="35" spans="1:7" ht="13.5" customHeight="1">
      <c r="A35" s="779" t="s">
        <v>351</v>
      </c>
      <c r="B35" s="214" t="s">
        <v>1527</v>
      </c>
      <c r="C35" s="219">
        <f ca="1">ROUND(C34*F35,0)</f>
        <v>3</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v>
      </c>
      <c r="D37" s="216">
        <f ca="1">D19</f>
        <v>174.21</v>
      </c>
      <c r="E37" s="248">
        <f>'数据-取费表'!B35</f>
        <v>200</v>
      </c>
      <c r="F37" s="258"/>
      <c r="G37" s="260" t="s">
        <v>1532</v>
      </c>
    </row>
    <row r="38" spans="1:7" ht="13.5" customHeight="1">
      <c r="A38" s="779"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v>
      </c>
      <c r="D42" s="237"/>
      <c r="E42" s="237"/>
      <c r="F42" s="238"/>
      <c r="G42" s="3694" t="s">
        <v>1544</v>
      </c>
    </row>
    <row r="43" spans="1:7" ht="13.5" customHeight="1">
      <c r="A43" s="779" t="s">
        <v>347</v>
      </c>
      <c r="B43" s="214" t="s">
        <v>1545</v>
      </c>
      <c r="C43" s="237">
        <f ca="1">ROUND(IF('数据-取费表'!B22&lt;=1,C39*F22*'数据-取费表'!B21/2,C39*(POWER((1+F22),'数据-取费表'!B21/2)-1)),0)</f>
        <v>0</v>
      </c>
      <c r="D43" s="237"/>
      <c r="E43" s="237"/>
      <c r="F43" s="238"/>
      <c r="G43" s="3695"/>
    </row>
    <row r="44" spans="1:7" ht="13.5" customHeight="1">
      <c r="A44" s="779" t="s">
        <v>348</v>
      </c>
      <c r="B44" s="214" t="s">
        <v>1546</v>
      </c>
      <c r="C44" s="237">
        <f ca="1">ROUND(IF('数据-取费表'!B22&lt;=1,C40*F22*'数据-取费表'!B21/2,C40*(POWER((1+F22),'数据-取费表'!B21/2)-1)),4)</f>
        <v>6.9999999999999999E-4</v>
      </c>
      <c r="D44" s="237"/>
      <c r="E44" s="237"/>
      <c r="F44" s="238"/>
      <c r="G44" s="3696"/>
    </row>
    <row r="45" spans="1:7" s="213" customFormat="1" ht="13.5" customHeight="1">
      <c r="A45" s="254" t="s">
        <v>1547</v>
      </c>
      <c r="B45" s="243" t="s">
        <v>1513</v>
      </c>
      <c r="C45" s="244">
        <f ca="1">C46</f>
        <v>14</v>
      </c>
      <c r="D45" s="234">
        <f ca="1">C47</f>
        <v>4.0000000000000001E-3</v>
      </c>
      <c r="E45" s="235" t="s">
        <v>1539</v>
      </c>
      <c r="F45" s="245">
        <f ca="1">F27</f>
        <v>0.2</v>
      </c>
      <c r="G45" s="246" t="s">
        <v>1548</v>
      </c>
    </row>
    <row r="46" spans="1:7" s="213" customFormat="1" ht="13.5" customHeight="1">
      <c r="A46" s="779" t="s">
        <v>346</v>
      </c>
      <c r="B46" s="247" t="s">
        <v>1549</v>
      </c>
      <c r="C46" s="248">
        <f ca="1">ROUND((C33+C39)*F27,0)</f>
        <v>14</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92</v>
      </c>
      <c r="D49" s="231"/>
      <c r="E49" s="231"/>
      <c r="F49" s="263"/>
      <c r="G49" s="233" t="s">
        <v>1554</v>
      </c>
    </row>
    <row r="50" spans="1:7" s="257" customFormat="1" ht="24">
      <c r="A50" s="254" t="s">
        <v>1555</v>
      </c>
      <c r="B50" s="209" t="s">
        <v>1556</v>
      </c>
      <c r="C50" s="231"/>
      <c r="D50" s="231"/>
      <c r="E50" s="231"/>
      <c r="F50" s="263">
        <f>IF('数据-取费表'!B24=0,'数据-取费表'!N16,1)</f>
        <v>0.72</v>
      </c>
      <c r="G50" s="246" t="s">
        <v>1557</v>
      </c>
    </row>
    <row r="51" spans="1:7" ht="16.5" customHeight="1">
      <c r="A51" s="254" t="s">
        <v>1558</v>
      </c>
      <c r="B51" s="209" t="s">
        <v>1559</v>
      </c>
      <c r="C51" s="231">
        <f ca="1">ROUND(C49*F50,0)</f>
        <v>66</v>
      </c>
      <c r="D51" s="231"/>
      <c r="E51" s="231"/>
      <c r="F51" s="263"/>
      <c r="G51" s="233" t="s">
        <v>1560</v>
      </c>
    </row>
    <row r="52" spans="1:7" s="207" customFormat="1" ht="16.5" thickBot="1">
      <c r="A52" s="264" t="s">
        <v>1561</v>
      </c>
      <c r="B52" s="265"/>
      <c r="C52" s="266">
        <f ca="1">C31+C51</f>
        <v>219</v>
      </c>
      <c r="D52" s="265"/>
      <c r="E52" s="265"/>
      <c r="F52" s="265"/>
      <c r="G52" s="267"/>
    </row>
    <row r="55" spans="1:7" ht="15">
      <c r="B55" s="269" t="s">
        <v>1562</v>
      </c>
      <c r="C55" s="270"/>
    </row>
    <row r="56" spans="1:7">
      <c r="B56" s="272" t="s">
        <v>802</v>
      </c>
      <c r="C56" s="274">
        <f ca="1">1-C57</f>
        <v>0.69900000000000007</v>
      </c>
    </row>
    <row r="57" spans="1:7">
      <c r="B57" s="272" t="s">
        <v>803</v>
      </c>
      <c r="C57" s="273">
        <f ca="1">ROUND(C51/C52,3)</f>
        <v>0.30099999999999999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7" t="str">
        <f>项目基本情况!B1</f>
        <v>北京市密云县车站路59号楼1至2层3商业综合用房房地产抵押价值预评估</v>
      </c>
      <c r="C37" s="3507"/>
      <c r="D37" s="3507"/>
      <c r="E37" s="3507"/>
      <c r="F37" s="3507"/>
      <c r="G37" s="3507"/>
      <c r="H37" s="3507"/>
      <c r="I37" s="350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zoomScaleSheetLayoutView="90" workbookViewId="0">
      <selection activeCell="E15" sqref="E1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t="s">
        <v>3525</v>
      </c>
      <c r="E1" s="3422" t="s">
        <v>3424</v>
      </c>
      <c r="F1" s="1878" t="s">
        <v>3420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f>IF(E1="项目模式",IF(C2="——",ROUND(C49*D3/10000,0),ROUND(C49*D3/10000,0)-D2),IF(E1="单套模式",IF(C2="——",ROUND(C49*D3/10000,4),ROUND(C49*D3/10000,4)-D2)))</f>
        <v>333.14179999999999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19123</v>
      </c>
      <c r="C3" s="353" t="s">
        <v>1768</v>
      </c>
      <c r="D3" s="352">
        <f>IF(D1="",'数据-汇总表'!E3,SUMIF('数据-汇总表'!$C19:$C33,D1,'数据-汇总表'!$E19:$E33))</f>
        <v>174.21</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26" t="s">
        <v>1771</v>
      </c>
      <c r="S4" s="3727"/>
      <c r="T4" s="3726" t="s">
        <v>1772</v>
      </c>
      <c r="U4" s="3727"/>
      <c r="V4" s="3711" t="s">
        <v>1773</v>
      </c>
      <c r="W4" s="3711"/>
      <c r="X4" s="1354"/>
      <c r="Y4" s="3726" t="s">
        <v>1775</v>
      </c>
      <c r="Z4" s="3727"/>
      <c r="AA4" s="3713" t="s">
        <v>1771</v>
      </c>
      <c r="AB4" s="3711" t="s">
        <v>1772</v>
      </c>
      <c r="AC4" s="3713" t="s">
        <v>1773</v>
      </c>
    </row>
    <row r="5" spans="1:29" ht="15">
      <c r="A5" s="357"/>
      <c r="B5" s="358"/>
      <c r="C5" s="3734" t="s">
        <v>1673</v>
      </c>
      <c r="D5" s="3735"/>
      <c r="E5" s="3741"/>
      <c r="F5" s="3742"/>
      <c r="G5" s="3734"/>
      <c r="H5" s="3735"/>
      <c r="I5" s="3734"/>
      <c r="J5" s="3735"/>
      <c r="K5" s="558"/>
      <c r="L5" s="2712"/>
      <c r="M5" s="2713"/>
      <c r="N5" s="2713"/>
      <c r="O5" s="2713"/>
      <c r="P5" s="3722"/>
      <c r="Q5" s="3723"/>
      <c r="R5" s="3728"/>
      <c r="S5" s="3729"/>
      <c r="T5" s="3728"/>
      <c r="U5" s="3729"/>
      <c r="V5" s="3711"/>
      <c r="W5" s="3711"/>
      <c r="X5" s="1354"/>
      <c r="Y5" s="3728"/>
      <c r="Z5" s="3729"/>
      <c r="AA5" s="3714"/>
      <c r="AB5" s="3711"/>
      <c r="AC5" s="3714"/>
    </row>
    <row r="6" spans="1:29" ht="15.75" thickBot="1">
      <c r="A6" s="359"/>
      <c r="B6" s="360"/>
      <c r="C6" s="3732" t="s">
        <v>1677</v>
      </c>
      <c r="D6" s="3733"/>
      <c r="E6" s="3739" t="s">
        <v>1677</v>
      </c>
      <c r="F6" s="3740"/>
      <c r="G6" s="3732" t="s">
        <v>1677</v>
      </c>
      <c r="H6" s="3733"/>
      <c r="I6" s="3732" t="s">
        <v>1677</v>
      </c>
      <c r="J6" s="3733"/>
      <c r="K6" s="558" t="s">
        <v>1678</v>
      </c>
      <c r="L6" s="2712"/>
      <c r="M6" s="2713"/>
      <c r="N6" s="2713"/>
      <c r="O6" s="2713"/>
      <c r="P6" s="3724"/>
      <c r="Q6" s="3725"/>
      <c r="R6" s="3728"/>
      <c r="S6" s="3729"/>
      <c r="T6" s="3730"/>
      <c r="U6" s="3731"/>
      <c r="V6" s="3711"/>
      <c r="W6" s="3711"/>
      <c r="X6" s="1354"/>
      <c r="Y6" s="3730"/>
      <c r="Z6" s="3731"/>
      <c r="AA6" s="3715"/>
      <c r="AB6" s="3711"/>
      <c r="AC6" s="3715"/>
    </row>
    <row r="7" spans="1:29" s="107" customFormat="1" ht="15.75" thickBot="1">
      <c r="A7" s="361" t="s">
        <v>1679</v>
      </c>
      <c r="B7" s="362"/>
      <c r="C7" s="363">
        <f>'数据-取费表'!B2</f>
        <v>45299</v>
      </c>
      <c r="D7" s="364">
        <v>100</v>
      </c>
      <c r="E7" s="365">
        <f>C7</f>
        <v>45299</v>
      </c>
      <c r="F7" s="366">
        <f>SUMIF(58:58,YEAR(E7)&amp;"-"&amp;MONTH(E7),59:59)</f>
        <v>100</v>
      </c>
      <c r="G7" s="365">
        <f>C7</f>
        <v>45299</v>
      </c>
      <c r="H7" s="364">
        <f>SUMIF(58:58,YEAR(G7)&amp;"-"&amp;MONTH(G7),59:59)</f>
        <v>100</v>
      </c>
      <c r="I7" s="365">
        <f>C7</f>
        <v>45299</v>
      </c>
      <c r="J7" s="364">
        <f>SUMIF(58:58,YEAR(I7)&amp;"-"&amp;MONTH(I7),59:59)</f>
        <v>100</v>
      </c>
      <c r="K7" s="559"/>
      <c r="L7" s="2714"/>
      <c r="M7" s="2715"/>
      <c r="N7" s="2715"/>
      <c r="O7" s="2715"/>
      <c r="P7" s="3736" t="s">
        <v>1680</v>
      </c>
      <c r="Q7" s="3738"/>
      <c r="R7" s="700" t="s">
        <v>14</v>
      </c>
      <c r="S7" s="701">
        <f t="shared" ref="S7:S15" si="0">F7</f>
        <v>100</v>
      </c>
      <c r="T7" s="700" t="s">
        <v>14</v>
      </c>
      <c r="U7" s="701">
        <f t="shared" ref="U7:U15" si="1">H7</f>
        <v>100</v>
      </c>
      <c r="V7" s="700" t="s">
        <v>14</v>
      </c>
      <c r="W7" s="701">
        <f t="shared" ref="W7:W15" si="2">J7</f>
        <v>100</v>
      </c>
      <c r="X7" s="702"/>
      <c r="Y7" s="3736" t="s">
        <v>1680</v>
      </c>
      <c r="Z7" s="3737"/>
      <c r="AA7" s="703">
        <f>D7/F7</f>
        <v>1</v>
      </c>
      <c r="AB7" s="703">
        <f>D7/H7</f>
        <v>1</v>
      </c>
      <c r="AC7" s="703">
        <f>D7/J7</f>
        <v>1</v>
      </c>
    </row>
    <row r="8" spans="1:29" s="107" customFormat="1" ht="15.75" thickBot="1">
      <c r="A8" s="361" t="s">
        <v>1681</v>
      </c>
      <c r="B8" s="362"/>
      <c r="C8" s="367" t="s">
        <v>3429</v>
      </c>
      <c r="D8" s="364">
        <v>100</v>
      </c>
      <c r="E8" s="367" t="s">
        <v>3430</v>
      </c>
      <c r="F8" s="366">
        <f>SUMIF(61:61,E8,62:62)-SUMIF(61:61,C8,62:62)+100</f>
        <v>105</v>
      </c>
      <c r="G8" s="367" t="s">
        <v>3430</v>
      </c>
      <c r="H8" s="364">
        <f>SUMIF(61:61,G8,62:62)-SUMIF(61:61,C8,62:62)+100</f>
        <v>105</v>
      </c>
      <c r="I8" s="367" t="s">
        <v>3430</v>
      </c>
      <c r="J8" s="364">
        <f>SUMIF(61:61,I8,62:62)-SUMIF(61:61,C8,62:62)+100</f>
        <v>105</v>
      </c>
      <c r="K8" s="559"/>
      <c r="L8" s="2714"/>
      <c r="M8" s="2715"/>
      <c r="N8" s="2715"/>
      <c r="O8" s="2715"/>
      <c r="P8" s="3736" t="s">
        <v>1683</v>
      </c>
      <c r="Q8" s="3737"/>
      <c r="R8" s="700" t="s">
        <v>14</v>
      </c>
      <c r="S8" s="701">
        <f t="shared" si="0"/>
        <v>105</v>
      </c>
      <c r="T8" s="700" t="s">
        <v>14</v>
      </c>
      <c r="U8" s="701">
        <f t="shared" si="1"/>
        <v>105</v>
      </c>
      <c r="V8" s="700" t="s">
        <v>14</v>
      </c>
      <c r="W8" s="701">
        <f t="shared" si="2"/>
        <v>105</v>
      </c>
      <c r="X8" s="702"/>
      <c r="Y8" s="3736" t="s">
        <v>1683</v>
      </c>
      <c r="Z8" s="3737"/>
      <c r="AA8" s="703">
        <f t="shared" ref="AA8:AA46" si="3">D8/F8</f>
        <v>0.95238095238095233</v>
      </c>
      <c r="AB8" s="703">
        <f t="shared" ref="AB8:AB46" si="4">D8/H8</f>
        <v>0.95238095238095233</v>
      </c>
      <c r="AC8" s="703">
        <f t="shared" ref="AC8:AC46" si="5">D8/J8</f>
        <v>0.95238095238095233</v>
      </c>
    </row>
    <row r="9" spans="1:29" s="107" customFormat="1">
      <c r="A9" s="368" t="s">
        <v>1684</v>
      </c>
      <c r="B9" s="63" t="s">
        <v>1685</v>
      </c>
      <c r="C9" s="3489" t="s">
        <v>3455</v>
      </c>
      <c r="D9" s="125">
        <v>100</v>
      </c>
      <c r="E9" s="370" t="s">
        <v>673</v>
      </c>
      <c r="F9" s="371">
        <f>SUMIF(63:63,E9,64:64)-SUMIF(63:63,C9,64:64)+100</f>
        <v>100</v>
      </c>
      <c r="G9" s="370" t="s">
        <v>673</v>
      </c>
      <c r="H9" s="125">
        <f>SUMIF(63:63,G9,64:64)-SUMIF(63:63,C9,64:64)+100</f>
        <v>100</v>
      </c>
      <c r="I9" s="370" t="s">
        <v>673</v>
      </c>
      <c r="J9" s="125">
        <f>SUMIF(63:63,I9,64:64)-SUMIF(63:63,C9,64:64)+100</f>
        <v>100</v>
      </c>
      <c r="K9" s="559"/>
      <c r="L9" s="2714"/>
      <c r="M9" s="2715"/>
      <c r="N9" s="2715"/>
      <c r="O9" s="2715"/>
      <c r="P9" s="3712" t="s">
        <v>1686</v>
      </c>
      <c r="Q9" s="1342" t="str">
        <f t="shared" ref="Q9:Q15" si="6">B9</f>
        <v>用途</v>
      </c>
      <c r="R9" s="700" t="s">
        <v>14</v>
      </c>
      <c r="S9" s="701">
        <f t="shared" si="0"/>
        <v>100</v>
      </c>
      <c r="T9" s="700" t="s">
        <v>14</v>
      </c>
      <c r="U9" s="701">
        <f t="shared" si="1"/>
        <v>100</v>
      </c>
      <c r="V9" s="700" t="s">
        <v>14</v>
      </c>
      <c r="W9" s="701">
        <f t="shared" si="2"/>
        <v>100</v>
      </c>
      <c r="X9" s="702"/>
      <c r="Y9" s="3597"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6"/>
      <c r="M10" s="2717"/>
      <c r="N10" s="2717"/>
      <c r="O10" s="2717"/>
      <c r="P10" s="3712"/>
      <c r="Q10" s="1342"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c r="A11" s="378"/>
      <c r="B11" s="374" t="s">
        <v>1689</v>
      </c>
      <c r="C11" s="379">
        <v>1</v>
      </c>
      <c r="D11" s="126">
        <v>100</v>
      </c>
      <c r="E11" s="380"/>
      <c r="F11" s="375">
        <f>LOOKUP(E11,68:68,69:69)-LOOKUP(C11,68:68,69:69)+100</f>
        <v>100</v>
      </c>
      <c r="G11" s="379"/>
      <c r="H11" s="126">
        <f>LOOKUP(G11,68:68,69:69)-LOOKUP(C11,68:68,69:69)+100</f>
        <v>100</v>
      </c>
      <c r="I11" s="379"/>
      <c r="J11" s="126">
        <f>LOOKUP(I11,68:68,69:69)-LOOKUP(C11,68:68,69:69)+100</f>
        <v>100</v>
      </c>
      <c r="K11" s="560"/>
      <c r="L11" s="2718"/>
      <c r="M11" s="2713"/>
      <c r="N11" s="2713"/>
      <c r="O11" s="2713"/>
      <c r="P11" s="3712"/>
      <c r="Q11" s="1342" t="str">
        <f t="shared" si="6"/>
        <v>容积率</v>
      </c>
      <c r="R11" s="700" t="s">
        <v>14</v>
      </c>
      <c r="S11" s="701">
        <f t="shared" si="0"/>
        <v>100</v>
      </c>
      <c r="T11" s="700" t="s">
        <v>14</v>
      </c>
      <c r="U11" s="701">
        <f t="shared" si="1"/>
        <v>100</v>
      </c>
      <c r="V11" s="700" t="s">
        <v>14</v>
      </c>
      <c r="W11" s="701">
        <f t="shared" si="2"/>
        <v>100</v>
      </c>
      <c r="X11" s="702"/>
      <c r="Y11" s="3597"/>
      <c r="Z11" s="52" t="str">
        <f t="shared" si="7"/>
        <v>容积率</v>
      </c>
      <c r="AA11" s="703">
        <f t="shared" si="3"/>
        <v>1</v>
      </c>
      <c r="AB11" s="703">
        <f t="shared" si="4"/>
        <v>1</v>
      </c>
      <c r="AC11" s="703">
        <f t="shared" si="5"/>
        <v>1</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12"/>
      <c r="Q12" s="1342">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12"/>
      <c r="Q13" s="1342">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12"/>
      <c r="Q14" s="1342">
        <f t="shared" si="6"/>
        <v>111</v>
      </c>
      <c r="R14" s="700" t="s">
        <v>14</v>
      </c>
      <c r="S14" s="701">
        <f t="shared" si="0"/>
        <v>100</v>
      </c>
      <c r="T14" s="700" t="s">
        <v>14</v>
      </c>
      <c r="U14" s="701">
        <f t="shared" si="1"/>
        <v>100</v>
      </c>
      <c r="V14" s="700" t="s">
        <v>14</v>
      </c>
      <c r="W14" s="701">
        <f t="shared" si="2"/>
        <v>100</v>
      </c>
      <c r="X14" s="702"/>
      <c r="Y14" s="3597"/>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02" t="s">
        <v>1691</v>
      </c>
      <c r="Q15" s="1351" t="str">
        <f t="shared" si="6"/>
        <v>商业繁华度</v>
      </c>
      <c r="R15" s="704" t="s">
        <v>14</v>
      </c>
      <c r="S15" s="705">
        <f t="shared" si="0"/>
        <v>100</v>
      </c>
      <c r="T15" s="704" t="s">
        <v>14</v>
      </c>
      <c r="U15" s="705">
        <f t="shared" si="1"/>
        <v>100</v>
      </c>
      <c r="V15" s="704" t="s">
        <v>14</v>
      </c>
      <c r="W15" s="705">
        <f t="shared" si="2"/>
        <v>100</v>
      </c>
      <c r="X15" s="1354"/>
      <c r="Y15" s="3704"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9"/>
      <c r="M16" s="2713"/>
      <c r="N16" s="2713"/>
      <c r="O16" s="2713"/>
      <c r="P16" s="3703"/>
      <c r="Q16" s="1351"/>
      <c r="R16" s="704"/>
      <c r="S16" s="705"/>
      <c r="T16" s="704"/>
      <c r="U16" s="705"/>
      <c r="V16" s="704"/>
      <c r="W16" s="705"/>
      <c r="X16" s="1354"/>
      <c r="Y16" s="3705"/>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03"/>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9"/>
      <c r="M18" s="2713"/>
      <c r="N18" s="2713"/>
      <c r="O18" s="2713"/>
      <c r="P18" s="3703"/>
      <c r="Q18" s="1351"/>
      <c r="R18" s="704"/>
      <c r="S18" s="705"/>
      <c r="T18" s="704"/>
      <c r="U18" s="705"/>
      <c r="V18" s="704"/>
      <c r="W18" s="705"/>
      <c r="X18" s="1354"/>
      <c r="Y18" s="3705"/>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03"/>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9"/>
      <c r="M20" s="2713"/>
      <c r="N20" s="2713"/>
      <c r="O20" s="2713"/>
      <c r="P20" s="3703"/>
      <c r="Q20" s="1351"/>
      <c r="R20" s="704"/>
      <c r="S20" s="705"/>
      <c r="T20" s="704"/>
      <c r="U20" s="705"/>
      <c r="V20" s="704"/>
      <c r="W20" s="705"/>
      <c r="X20" s="1354"/>
      <c r="Y20" s="3705"/>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03"/>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9"/>
      <c r="M22" s="2713"/>
      <c r="N22" s="2713"/>
      <c r="O22" s="2713"/>
      <c r="P22" s="3703"/>
      <c r="Q22" s="1351"/>
      <c r="R22" s="704"/>
      <c r="S22" s="705"/>
      <c r="T22" s="704"/>
      <c r="U22" s="705"/>
      <c r="V22" s="704"/>
      <c r="W22" s="705"/>
      <c r="X22" s="1354"/>
      <c r="Y22" s="3705"/>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03"/>
      <c r="Q23" s="1351" t="str">
        <f>B23</f>
        <v>自然及人文环境</v>
      </c>
      <c r="R23" s="704" t="s">
        <v>14</v>
      </c>
      <c r="S23" s="705">
        <f>F23</f>
        <v>100</v>
      </c>
      <c r="T23" s="704" t="s">
        <v>14</v>
      </c>
      <c r="U23" s="705">
        <f>H23</f>
        <v>100</v>
      </c>
      <c r="V23" s="704" t="s">
        <v>14</v>
      </c>
      <c r="W23" s="705">
        <f>J23</f>
        <v>100</v>
      </c>
      <c r="X23" s="1354"/>
      <c r="Y23" s="370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9"/>
      <c r="M24" s="2713"/>
      <c r="N24" s="2713"/>
      <c r="O24" s="2713"/>
      <c r="P24" s="3703"/>
      <c r="Q24" s="1351"/>
      <c r="R24" s="704"/>
      <c r="S24" s="705"/>
      <c r="T24" s="704"/>
      <c r="U24" s="705"/>
      <c r="V24" s="704"/>
      <c r="W24" s="705"/>
      <c r="X24" s="1354"/>
      <c r="Y24" s="3705"/>
      <c r="Z24" s="1355"/>
      <c r="AA24" s="1352">
        <v>1</v>
      </c>
      <c r="AB24" s="1352">
        <v>1</v>
      </c>
      <c r="AC24" s="1352">
        <v>1</v>
      </c>
    </row>
    <row r="25" spans="1:29" ht="15">
      <c r="A25" s="378"/>
      <c r="B25" s="374" t="s">
        <v>1780</v>
      </c>
      <c r="C25" s="564" t="s">
        <v>3444</v>
      </c>
      <c r="D25" s="385">
        <v>100</v>
      </c>
      <c r="E25" s="564" t="s">
        <v>3444</v>
      </c>
      <c r="F25" s="411">
        <f>SUMIF(86:86,E25,87:87)-SUMIF(86:86,C25,87:87)+100</f>
        <v>100</v>
      </c>
      <c r="G25" s="564" t="s">
        <v>3446</v>
      </c>
      <c r="H25" s="385">
        <f>SUMIF(86:86,G25,87:87)-SUMIF(86:86,C25,87:87)+100</f>
        <v>98</v>
      </c>
      <c r="I25" s="564" t="s">
        <v>3444</v>
      </c>
      <c r="J25" s="385">
        <f>SUMIF(86:86,I25,87:87)-SUMIF(86:86,C25,87:87)+100</f>
        <v>100</v>
      </c>
      <c r="K25" s="560">
        <v>2</v>
      </c>
      <c r="L25" s="2719"/>
      <c r="M25" s="2713"/>
      <c r="N25" s="2713"/>
      <c r="O25" s="2713"/>
      <c r="P25" s="3703"/>
      <c r="Q25" s="1351" t="str">
        <f t="shared" ref="Q25:Q46" si="11">B25</f>
        <v>临街状况</v>
      </c>
      <c r="R25" s="704" t="s">
        <v>14</v>
      </c>
      <c r="S25" s="705">
        <f>F25</f>
        <v>100</v>
      </c>
      <c r="T25" s="704" t="s">
        <v>14</v>
      </c>
      <c r="U25" s="705">
        <f>H25</f>
        <v>98</v>
      </c>
      <c r="V25" s="704" t="s">
        <v>14</v>
      </c>
      <c r="W25" s="705">
        <f>J25</f>
        <v>100</v>
      </c>
      <c r="X25" s="1354"/>
      <c r="Y25" s="3705"/>
      <c r="Z25" s="1355" t="str">
        <f>Q25</f>
        <v>临街状况</v>
      </c>
      <c r="AA25" s="1352">
        <f t="shared" si="3"/>
        <v>1</v>
      </c>
      <c r="AB25" s="1352">
        <f t="shared" si="4"/>
        <v>1.0204081632653061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03"/>
      <c r="Q26" s="1351" t="str">
        <f t="shared" si="11"/>
        <v>平面位置/可视性</v>
      </c>
      <c r="R26" s="704" t="s">
        <v>14</v>
      </c>
      <c r="S26" s="705">
        <f>F26</f>
        <v>100</v>
      </c>
      <c r="T26" s="704" t="s">
        <v>14</v>
      </c>
      <c r="U26" s="705">
        <f>H26</f>
        <v>100</v>
      </c>
      <c r="V26" s="704" t="s">
        <v>14</v>
      </c>
      <c r="W26" s="705">
        <f>J26</f>
        <v>100</v>
      </c>
      <c r="X26" s="1354"/>
      <c r="Y26" s="3705"/>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4"/>
      <c r="M27" s="2715"/>
      <c r="N27" s="2715"/>
      <c r="O27" s="2715"/>
      <c r="P27" s="3703"/>
      <c r="Q27" s="1342" t="str">
        <f t="shared" si="11"/>
        <v>人流量</v>
      </c>
      <c r="R27" s="700" t="s">
        <v>14</v>
      </c>
      <c r="S27" s="701">
        <f>F27</f>
        <v>100</v>
      </c>
      <c r="T27" s="700" t="s">
        <v>14</v>
      </c>
      <c r="U27" s="701">
        <f>H27</f>
        <v>100</v>
      </c>
      <c r="V27" s="700" t="s">
        <v>14</v>
      </c>
      <c r="W27" s="701">
        <f>J27</f>
        <v>100</v>
      </c>
      <c r="X27" s="702"/>
      <c r="Y27" s="3705"/>
      <c r="Z27" s="52" t="str">
        <f>Q27</f>
        <v>人流量</v>
      </c>
      <c r="AA27" s="1352">
        <f>D27/F27</f>
        <v>1</v>
      </c>
      <c r="AB27" s="1352">
        <f>D27/H27</f>
        <v>1</v>
      </c>
      <c r="AC27" s="1352">
        <f>D27/J27</f>
        <v>1</v>
      </c>
    </row>
    <row r="28" spans="1:29" ht="15">
      <c r="A28" s="378"/>
      <c r="B28" s="374" t="s">
        <v>1783</v>
      </c>
      <c r="C28" s="564" t="s">
        <v>3438</v>
      </c>
      <c r="D28" s="385">
        <v>100</v>
      </c>
      <c r="E28" s="564" t="s">
        <v>3438</v>
      </c>
      <c r="F28" s="411">
        <f>SUMIF(92:92,E28,93:93)-SUMIF(92:92,C28,93:93)+100</f>
        <v>100</v>
      </c>
      <c r="G28" s="564" t="s">
        <v>3438</v>
      </c>
      <c r="H28" s="385">
        <f>SUMIF(92:92,G28,93:93)-SUMIF(92:92,C28,93:93)+100</f>
        <v>100</v>
      </c>
      <c r="I28" s="564" t="s">
        <v>3438</v>
      </c>
      <c r="J28" s="385">
        <f>SUMIF(92:92,I28,93:93)-SUMIF(92:92,C28,93:93)+100</f>
        <v>100</v>
      </c>
      <c r="K28" s="561"/>
      <c r="L28" s="2719"/>
      <c r="M28" s="2713"/>
      <c r="N28" s="2713"/>
      <c r="O28" s="2713"/>
      <c r="P28" s="370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03"/>
      <c r="Q29" s="1351">
        <f t="shared" si="11"/>
        <v>111</v>
      </c>
      <c r="R29" s="704" t="s">
        <v>14</v>
      </c>
      <c r="S29" s="705">
        <f t="shared" si="12"/>
        <v>100</v>
      </c>
      <c r="T29" s="704" t="s">
        <v>14</v>
      </c>
      <c r="U29" s="705">
        <f t="shared" si="13"/>
        <v>100</v>
      </c>
      <c r="V29" s="704" t="s">
        <v>14</v>
      </c>
      <c r="W29" s="705">
        <f t="shared" si="14"/>
        <v>100</v>
      </c>
      <c r="X29" s="1354"/>
      <c r="Y29" s="370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03"/>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03"/>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9"/>
      <c r="M32" s="2713"/>
      <c r="N32" s="2713"/>
      <c r="O32" s="2713"/>
      <c r="P32" s="3706" t="s">
        <v>1696</v>
      </c>
      <c r="Q32" s="1351" t="str">
        <f t="shared" si="11"/>
        <v>商业类型</v>
      </c>
      <c r="R32" s="704" t="s">
        <v>14</v>
      </c>
      <c r="S32" s="705">
        <f t="shared" si="12"/>
        <v>100</v>
      </c>
      <c r="T32" s="704" t="s">
        <v>14</v>
      </c>
      <c r="U32" s="705">
        <f t="shared" si="13"/>
        <v>100</v>
      </c>
      <c r="V32" s="704" t="s">
        <v>14</v>
      </c>
      <c r="W32" s="705">
        <f t="shared" si="14"/>
        <v>100</v>
      </c>
      <c r="X32" s="1354"/>
      <c r="Y32" s="3709" t="s">
        <v>1696</v>
      </c>
      <c r="Z32" s="1355" t="str">
        <f t="shared" si="15"/>
        <v>商业类型</v>
      </c>
      <c r="AA32" s="1352">
        <f t="shared" si="3"/>
        <v>1</v>
      </c>
      <c r="AB32" s="1352">
        <f t="shared" si="4"/>
        <v>1</v>
      </c>
      <c r="AC32" s="1352">
        <f t="shared" si="5"/>
        <v>1</v>
      </c>
    </row>
    <row r="33" spans="1:29" s="421" customFormat="1" ht="15">
      <c r="A33" s="418"/>
      <c r="B33" s="374" t="s">
        <v>1697</v>
      </c>
      <c r="C33" s="419">
        <f>'数据-汇总表'!E3</f>
        <v>174.21</v>
      </c>
      <c r="D33" s="126">
        <v>100</v>
      </c>
      <c r="E33" s="380">
        <v>589.98</v>
      </c>
      <c r="F33" s="375">
        <f>LOOKUP(E33,103:103,104:104)-LOOKUP(C33,103:103,104:104)+100</f>
        <v>96</v>
      </c>
      <c r="G33" s="379">
        <v>67.959999999999994</v>
      </c>
      <c r="H33" s="126">
        <f>LOOKUP(G33,103:103,104:104)-LOOKUP(C33,103:103,104:104)+100</f>
        <v>101</v>
      </c>
      <c r="I33" s="379">
        <v>81.36</v>
      </c>
      <c r="J33" s="126">
        <f>LOOKUP(I33,103:103,104:104)-LOOKUP(C33,103:103,104:104)+100</f>
        <v>101</v>
      </c>
      <c r="K33" s="561"/>
      <c r="L33" s="2718"/>
      <c r="M33" s="2720"/>
      <c r="N33" s="2720"/>
      <c r="O33" s="2720"/>
      <c r="P33" s="3707"/>
      <c r="Q33" s="706" t="str">
        <f t="shared" si="11"/>
        <v>项目建筑规模</v>
      </c>
      <c r="R33" s="707" t="s">
        <v>14</v>
      </c>
      <c r="S33" s="708">
        <f t="shared" si="12"/>
        <v>96</v>
      </c>
      <c r="T33" s="707" t="s">
        <v>14</v>
      </c>
      <c r="U33" s="708">
        <f t="shared" si="13"/>
        <v>101</v>
      </c>
      <c r="V33" s="707" t="s">
        <v>14</v>
      </c>
      <c r="W33" s="708">
        <f t="shared" si="14"/>
        <v>101</v>
      </c>
      <c r="X33" s="709"/>
      <c r="Y33" s="3709"/>
      <c r="Z33" s="710" t="str">
        <f t="shared" si="15"/>
        <v>项目建筑规模</v>
      </c>
      <c r="AA33" s="1352">
        <f t="shared" si="3"/>
        <v>1.0416666666666667</v>
      </c>
      <c r="AB33" s="1352">
        <f t="shared" si="4"/>
        <v>0.99009900990099009</v>
      </c>
      <c r="AC33" s="1352">
        <f t="shared" si="5"/>
        <v>0.99009900990099009</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9"/>
      <c r="M34" s="2713"/>
      <c r="N34" s="2713"/>
      <c r="O34" s="2713"/>
      <c r="P34" s="3707"/>
      <c r="Q34" s="1351" t="str">
        <f t="shared" si="11"/>
        <v>建筑结构</v>
      </c>
      <c r="R34" s="704" t="s">
        <v>14</v>
      </c>
      <c r="S34" s="705">
        <f t="shared" si="12"/>
        <v>100</v>
      </c>
      <c r="T34" s="704" t="s">
        <v>14</v>
      </c>
      <c r="U34" s="705">
        <f t="shared" si="13"/>
        <v>100</v>
      </c>
      <c r="V34" s="704" t="s">
        <v>14</v>
      </c>
      <c r="W34" s="705">
        <f t="shared" si="14"/>
        <v>100</v>
      </c>
      <c r="X34" s="1354"/>
      <c r="Y34" s="3709"/>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9"/>
      <c r="M35" s="2713"/>
      <c r="N35" s="2713"/>
      <c r="O35" s="2713"/>
      <c r="P35" s="3707"/>
      <c r="Q35" s="1351" t="str">
        <f t="shared" si="11"/>
        <v>公共部分装修</v>
      </c>
      <c r="R35" s="704" t="s">
        <v>14</v>
      </c>
      <c r="S35" s="705">
        <f t="shared" si="12"/>
        <v>100</v>
      </c>
      <c r="T35" s="704" t="s">
        <v>14</v>
      </c>
      <c r="U35" s="705">
        <f t="shared" si="13"/>
        <v>100</v>
      </c>
      <c r="V35" s="704" t="s">
        <v>14</v>
      </c>
      <c r="W35" s="705">
        <f t="shared" si="14"/>
        <v>100</v>
      </c>
      <c r="X35" s="1354"/>
      <c r="Y35" s="3709"/>
      <c r="Z35" s="1355" t="str">
        <f t="shared" si="15"/>
        <v>公共部分装修</v>
      </c>
      <c r="AA35" s="1352">
        <f t="shared" si="3"/>
        <v>1</v>
      </c>
      <c r="AB35" s="1352">
        <f t="shared" si="4"/>
        <v>1</v>
      </c>
      <c r="AC35" s="1352">
        <f t="shared" si="5"/>
        <v>1</v>
      </c>
    </row>
    <row r="36" spans="1:29" ht="15">
      <c r="A36" s="422"/>
      <c r="B36" s="374" t="s">
        <v>1786</v>
      </c>
      <c r="C36" s="424">
        <f>'数据-取费表'!N6</f>
        <v>0.72</v>
      </c>
      <c r="D36" s="385">
        <v>100</v>
      </c>
      <c r="E36" s="424">
        <v>0.8</v>
      </c>
      <c r="F36" s="411">
        <f>LOOKUP(E36,110:110,111:111)-LOOKUP(C36,110:110,111:111)+100</f>
        <v>101</v>
      </c>
      <c r="G36" s="424">
        <v>0.8</v>
      </c>
      <c r="H36" s="411">
        <f>LOOKUP(G36,110:110,111:111)-LOOKUP(C36,110:110,111:111)+100</f>
        <v>101</v>
      </c>
      <c r="I36" s="424">
        <v>0.8</v>
      </c>
      <c r="J36" s="385">
        <f>LOOKUP(I36,110:110,111:111)-LOOKUP(C36,110:110,111:111)+100</f>
        <v>101</v>
      </c>
      <c r="K36" s="560">
        <v>1</v>
      </c>
      <c r="L36" s="2719"/>
      <c r="M36" s="2713"/>
      <c r="N36" s="2713"/>
      <c r="O36" s="2713"/>
      <c r="P36" s="3707"/>
      <c r="Q36" s="1351" t="str">
        <f t="shared" si="11"/>
        <v>成新度</v>
      </c>
      <c r="R36" s="704" t="s">
        <v>14</v>
      </c>
      <c r="S36" s="705">
        <f t="shared" si="12"/>
        <v>101</v>
      </c>
      <c r="T36" s="704" t="s">
        <v>14</v>
      </c>
      <c r="U36" s="705">
        <f t="shared" si="13"/>
        <v>101</v>
      </c>
      <c r="V36" s="704" t="s">
        <v>14</v>
      </c>
      <c r="W36" s="705">
        <f t="shared" si="14"/>
        <v>101</v>
      </c>
      <c r="X36" s="1354"/>
      <c r="Y36" s="3709"/>
      <c r="Z36" s="1355" t="str">
        <f t="shared" si="15"/>
        <v>成新度</v>
      </c>
      <c r="AA36" s="1352">
        <f t="shared" si="3"/>
        <v>0.99009900990099009</v>
      </c>
      <c r="AB36" s="1352">
        <f t="shared" si="4"/>
        <v>0.99009900990099009</v>
      </c>
      <c r="AC36" s="1352">
        <f t="shared" si="5"/>
        <v>0.99009900990099009</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4"/>
      <c r="M37" s="2715"/>
      <c r="N37" s="2715"/>
      <c r="O37" s="2715"/>
      <c r="P37" s="3707"/>
      <c r="Q37" s="1342" t="str">
        <f t="shared" si="11"/>
        <v>市政基础设施</v>
      </c>
      <c r="R37" s="700" t="s">
        <v>14</v>
      </c>
      <c r="S37" s="701">
        <f t="shared" si="12"/>
        <v>100</v>
      </c>
      <c r="T37" s="700" t="s">
        <v>14</v>
      </c>
      <c r="U37" s="701">
        <f t="shared" si="13"/>
        <v>100</v>
      </c>
      <c r="V37" s="700" t="s">
        <v>14</v>
      </c>
      <c r="W37" s="701">
        <f t="shared" si="14"/>
        <v>100</v>
      </c>
      <c r="X37" s="702"/>
      <c r="Y37" s="3709"/>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9"/>
      <c r="M38" s="2713"/>
      <c r="N38" s="2713"/>
      <c r="O38" s="2713"/>
      <c r="P38" s="3707" t="s">
        <v>1696</v>
      </c>
      <c r="Q38" s="1351" t="str">
        <f t="shared" si="11"/>
        <v>业态</v>
      </c>
      <c r="R38" s="704" t="s">
        <v>14</v>
      </c>
      <c r="S38" s="705">
        <f t="shared" si="12"/>
        <v>100</v>
      </c>
      <c r="T38" s="704" t="s">
        <v>14</v>
      </c>
      <c r="U38" s="705">
        <f t="shared" si="13"/>
        <v>100</v>
      </c>
      <c r="V38" s="704" t="s">
        <v>14</v>
      </c>
      <c r="W38" s="705">
        <f t="shared" si="14"/>
        <v>100</v>
      </c>
      <c r="X38" s="1354"/>
      <c r="Y38" s="3709"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9"/>
      <c r="M39" s="2713"/>
      <c r="N39" s="2713"/>
      <c r="O39" s="2713"/>
      <c r="P39" s="3707"/>
      <c r="Q39" s="1351" t="str">
        <f t="shared" si="11"/>
        <v>层高</v>
      </c>
      <c r="R39" s="704" t="s">
        <v>14</v>
      </c>
      <c r="S39" s="705">
        <f t="shared" si="12"/>
        <v>100</v>
      </c>
      <c r="T39" s="704" t="s">
        <v>14</v>
      </c>
      <c r="U39" s="705">
        <f t="shared" si="13"/>
        <v>100</v>
      </c>
      <c r="V39" s="704" t="s">
        <v>14</v>
      </c>
      <c r="W39" s="705">
        <f t="shared" si="14"/>
        <v>100</v>
      </c>
      <c r="X39" s="1354"/>
      <c r="Y39" s="3709"/>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07"/>
      <c r="Q40" s="1351" t="str">
        <f t="shared" si="11"/>
        <v>单套建筑面积</v>
      </c>
      <c r="R40" s="704" t="s">
        <v>14</v>
      </c>
      <c r="S40" s="705">
        <f t="shared" si="12"/>
        <v>100</v>
      </c>
      <c r="T40" s="704" t="s">
        <v>14</v>
      </c>
      <c r="U40" s="705">
        <f t="shared" si="13"/>
        <v>100</v>
      </c>
      <c r="V40" s="704" t="s">
        <v>14</v>
      </c>
      <c r="W40" s="705">
        <f t="shared" si="14"/>
        <v>100</v>
      </c>
      <c r="X40" s="1354"/>
      <c r="Y40" s="3709"/>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07"/>
      <c r="Q41" s="706" t="str">
        <f t="shared" si="11"/>
        <v>进深比</v>
      </c>
      <c r="R41" s="707" t="s">
        <v>14</v>
      </c>
      <c r="S41" s="708">
        <f t="shared" si="12"/>
        <v>100</v>
      </c>
      <c r="T41" s="707" t="s">
        <v>14</v>
      </c>
      <c r="U41" s="708">
        <f t="shared" si="13"/>
        <v>100</v>
      </c>
      <c r="V41" s="707" t="s">
        <v>14</v>
      </c>
      <c r="W41" s="708">
        <f t="shared" si="14"/>
        <v>100</v>
      </c>
      <c r="X41" s="709"/>
      <c r="Y41" s="3709"/>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9"/>
      <c r="M42" s="2713"/>
      <c r="N42" s="2713"/>
      <c r="O42" s="2713"/>
      <c r="P42" s="3707"/>
      <c r="Q42" s="1351" t="str">
        <f t="shared" si="11"/>
        <v>内部装修</v>
      </c>
      <c r="R42" s="704" t="s">
        <v>14</v>
      </c>
      <c r="S42" s="705">
        <f t="shared" si="12"/>
        <v>100</v>
      </c>
      <c r="T42" s="704" t="s">
        <v>14</v>
      </c>
      <c r="U42" s="705">
        <f t="shared" si="13"/>
        <v>100</v>
      </c>
      <c r="V42" s="704" t="s">
        <v>14</v>
      </c>
      <c r="W42" s="705">
        <f t="shared" si="14"/>
        <v>100</v>
      </c>
      <c r="X42" s="1354"/>
      <c r="Y42" s="3709"/>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9"/>
      <c r="M43" s="2713"/>
      <c r="N43" s="2713"/>
      <c r="O43" s="2713"/>
      <c r="P43" s="3707"/>
      <c r="Q43" s="1351" t="str">
        <f t="shared" si="11"/>
        <v>内部装修维护情况</v>
      </c>
      <c r="R43" s="704" t="s">
        <v>14</v>
      </c>
      <c r="S43" s="705">
        <f t="shared" si="12"/>
        <v>100</v>
      </c>
      <c r="T43" s="704" t="s">
        <v>14</v>
      </c>
      <c r="U43" s="705">
        <f t="shared" si="13"/>
        <v>100</v>
      </c>
      <c r="V43" s="704" t="s">
        <v>14</v>
      </c>
      <c r="W43" s="705">
        <f t="shared" si="14"/>
        <v>100</v>
      </c>
      <c r="X43" s="1354"/>
      <c r="Y43" s="3709"/>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07"/>
      <c r="Q44" s="1342">
        <f t="shared" si="11"/>
        <v>111</v>
      </c>
      <c r="R44" s="700" t="s">
        <v>14</v>
      </c>
      <c r="S44" s="701">
        <f t="shared" si="12"/>
        <v>100</v>
      </c>
      <c r="T44" s="700" t="s">
        <v>14</v>
      </c>
      <c r="U44" s="701">
        <f t="shared" si="13"/>
        <v>100</v>
      </c>
      <c r="V44" s="700" t="s">
        <v>14</v>
      </c>
      <c r="W44" s="701">
        <f t="shared" si="14"/>
        <v>100</v>
      </c>
      <c r="X44" s="702"/>
      <c r="Y44" s="3709"/>
      <c r="Z44" s="52">
        <f t="shared" si="15"/>
        <v>111</v>
      </c>
      <c r="AA44" s="703">
        <f t="shared" si="3"/>
        <v>1</v>
      </c>
      <c r="AB44" s="703">
        <f t="shared" si="4"/>
        <v>1</v>
      </c>
      <c r="AC44" s="703">
        <f t="shared" si="5"/>
        <v>1</v>
      </c>
    </row>
    <row r="45" spans="1:29" ht="15">
      <c r="A45" s="422"/>
      <c r="B45" s="3476" t="s">
        <v>3428</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07"/>
      <c r="Q45" s="1351" t="str">
        <f t="shared" si="11"/>
        <v>建成年代</v>
      </c>
      <c r="R45" s="704" t="s">
        <v>14</v>
      </c>
      <c r="S45" s="705">
        <f t="shared" si="12"/>
        <v>100</v>
      </c>
      <c r="T45" s="704" t="s">
        <v>14</v>
      </c>
      <c r="U45" s="705">
        <f t="shared" si="13"/>
        <v>100</v>
      </c>
      <c r="V45" s="704" t="s">
        <v>14</v>
      </c>
      <c r="W45" s="705">
        <f t="shared" si="14"/>
        <v>100</v>
      </c>
      <c r="X45" s="1354"/>
      <c r="Y45" s="3709"/>
      <c r="Z45" s="1355" t="str">
        <f t="shared" si="15"/>
        <v>建成年代</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08"/>
      <c r="Q46" s="1351">
        <f t="shared" si="11"/>
        <v>111</v>
      </c>
      <c r="R46" s="704" t="s">
        <v>14</v>
      </c>
      <c r="S46" s="705">
        <f t="shared" si="12"/>
        <v>100</v>
      </c>
      <c r="T46" s="704" t="s">
        <v>14</v>
      </c>
      <c r="U46" s="705">
        <f t="shared" si="13"/>
        <v>100</v>
      </c>
      <c r="V46" s="704" t="s">
        <v>14</v>
      </c>
      <c r="W46" s="705">
        <f t="shared" si="14"/>
        <v>100</v>
      </c>
      <c r="X46" s="1354"/>
      <c r="Y46" s="3710"/>
      <c r="Z46" s="1355">
        <f t="shared" si="15"/>
        <v>111</v>
      </c>
      <c r="AA46" s="1352">
        <f t="shared" si="3"/>
        <v>1</v>
      </c>
      <c r="AB46" s="1352">
        <f t="shared" si="4"/>
        <v>1</v>
      </c>
      <c r="AC46" s="1352">
        <f t="shared" si="5"/>
        <v>1</v>
      </c>
    </row>
    <row r="47" spans="1:29" ht="15">
      <c r="A47" s="429" t="s">
        <v>1708</v>
      </c>
      <c r="B47" s="430"/>
      <c r="C47" s="1153" t="s">
        <v>0</v>
      </c>
      <c r="D47" s="1154"/>
      <c r="E47" s="1155">
        <v>20000</v>
      </c>
      <c r="F47" s="1156"/>
      <c r="G47" s="1157">
        <v>20000</v>
      </c>
      <c r="H47" s="1158"/>
      <c r="I47" s="1155">
        <v>20000</v>
      </c>
      <c r="J47" s="1158"/>
      <c r="K47" s="713"/>
      <c r="L47" s="2721"/>
      <c r="M47" s="2722"/>
      <c r="N47" s="2713"/>
      <c r="O47" s="2722"/>
      <c r="P47" s="3697" t="str">
        <f>A47</f>
        <v>成交单价（元/平方米）</v>
      </c>
      <c r="Q47" s="3697"/>
      <c r="R47" s="3711">
        <f>E47</f>
        <v>20000</v>
      </c>
      <c r="S47" s="3711"/>
      <c r="T47" s="3711">
        <f>G47</f>
        <v>20000</v>
      </c>
      <c r="U47" s="3711"/>
      <c r="V47" s="3711">
        <f>I47</f>
        <v>20000</v>
      </c>
      <c r="W47" s="3711"/>
      <c r="X47" s="689"/>
      <c r="Y47" s="711"/>
      <c r="Z47" s="689"/>
      <c r="AA47" s="689"/>
      <c r="AB47" s="689"/>
      <c r="AC47" s="689"/>
    </row>
    <row r="48" spans="1:29" ht="15.75" thickBot="1">
      <c r="A48" s="436" t="s">
        <v>1793</v>
      </c>
      <c r="B48" s="437"/>
      <c r="C48" s="1159">
        <f>R49</f>
        <v>19123</v>
      </c>
      <c r="D48" s="2316" t="s">
        <v>2138</v>
      </c>
      <c r="E48" s="1160">
        <f>R48</f>
        <v>19645</v>
      </c>
      <c r="F48" s="2317"/>
      <c r="G48" s="1159">
        <f>T48</f>
        <v>19053</v>
      </c>
      <c r="H48" s="2317"/>
      <c r="I48" s="1160">
        <f>V48</f>
        <v>18672</v>
      </c>
      <c r="J48" s="2317"/>
      <c r="K48" s="2319">
        <f>F48+H48+J48</f>
        <v>0</v>
      </c>
      <c r="L48" s="2721"/>
      <c r="M48" s="2722"/>
      <c r="N48" s="2713"/>
      <c r="O48" s="2722"/>
      <c r="P48" s="3697" t="str">
        <f>A48</f>
        <v>比较价值（元/平方米）</v>
      </c>
      <c r="Q48" s="3697"/>
      <c r="R48" s="3698">
        <f>IF(F1="售价",ROUND(PRODUCT(R47,AA7:AA46),0),ROUND(PRODUCT(R47,AA7:AA46),1))</f>
        <v>19645</v>
      </c>
      <c r="S48" s="3698"/>
      <c r="T48" s="3698">
        <f>IF(F1="售价",ROUND(PRODUCT(T47,AB7:AB46),0),ROUND(PRODUCT(T47,AB7:AB46),1))</f>
        <v>19053</v>
      </c>
      <c r="U48" s="3698"/>
      <c r="V48" s="3698">
        <f>IF(F1="售价",ROUND(PRODUCT(V47,AC7:AC46),0),ROUND(PRODUCT(V47,AC7:AC46),1))</f>
        <v>18672</v>
      </c>
      <c r="W48" s="3698"/>
      <c r="X48" s="689"/>
      <c r="Y48" s="689"/>
      <c r="Z48" s="689"/>
      <c r="AA48" s="689"/>
      <c r="AB48" s="689"/>
      <c r="AC48" s="689"/>
    </row>
    <row r="49" spans="1:29" ht="15.75" thickBot="1">
      <c r="A49" s="440" t="s">
        <v>1794</v>
      </c>
      <c r="B49" s="441"/>
      <c r="C49" s="1162">
        <f>R49</f>
        <v>19123</v>
      </c>
      <c r="D49" s="1162"/>
      <c r="E49" s="1162"/>
      <c r="F49" s="1162"/>
      <c r="G49" s="1162"/>
      <c r="H49" s="1162"/>
      <c r="I49" s="1162"/>
      <c r="J49" s="1162"/>
      <c r="K49" s="714"/>
      <c r="L49" s="2721"/>
      <c r="M49" s="2722"/>
      <c r="N49" s="2713"/>
      <c r="O49" s="2722"/>
      <c r="P49" s="3699" t="str">
        <f>A49</f>
        <v>估价对象XX用房的比较价值（楼面单价，元/平方米）</v>
      </c>
      <c r="Q49" s="3700"/>
      <c r="R49" s="3701">
        <f>IF(F1="售价",ROUND(IF(D48="简单平均",AVERAGE(R48:V48),R48*F48+T48*H48+V48*J48),0),ROUND(IF(D48="简单平均",AVERAGE(R48:V48),R48*F48+T48*H48+V48*J48),1))</f>
        <v>19123</v>
      </c>
      <c r="S49" s="3701"/>
      <c r="T49" s="3701"/>
      <c r="U49" s="3701"/>
      <c r="V49" s="3701"/>
      <c r="W49" s="370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f>IF(E47&lt;E48,E48/E47-1,E47/E48-1)</f>
        <v>1.8070755917536374E-2</v>
      </c>
      <c r="F52" s="448" t="str">
        <f>IF(OR(E52&gt;=0.3,E52&lt;=-0.3),"超过30%","")</f>
        <v/>
      </c>
      <c r="G52" s="447">
        <f>IF(G47&lt;G48,G48/G47-1,G47/G48-1)</f>
        <v>4.9703458772896614E-2</v>
      </c>
      <c r="H52" s="448" t="str">
        <f>IF(OR(G52&gt;=0.3,G52&lt;=-0.3),"超过30%","")</f>
        <v/>
      </c>
      <c r="I52" s="447">
        <f>IF(I47&lt;I48,I48/I47-1,I47/I48-1)</f>
        <v>7.1122536418166238E-2</v>
      </c>
      <c r="J52" s="448"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f>IF(E48&lt;G48,G48/E48-1,E48/G48-1)</f>
        <v>3.1071222379677632E-2</v>
      </c>
      <c r="F53" s="448" t="str">
        <f>IF(OR(E53&gt;=0.2,E53&lt;=-0.2),"超过20%","")</f>
        <v/>
      </c>
      <c r="G53" s="447">
        <f>IF(G48&lt;I48,I48/G48-1,G48/I48-1)</f>
        <v>2.0404884318766081E-2</v>
      </c>
      <c r="H53" s="448" t="str">
        <f>IF(OR(G53&gt;=0.2,G53&lt;=-0.2),"超过20%","")</f>
        <v/>
      </c>
      <c r="I53" s="447">
        <f>IF(I48&lt;E48,E48/I48-1,I48/E48-1)</f>
        <v>5.2110111396743708E-2</v>
      </c>
      <c r="J53" s="448"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5">
      <c r="A58" s="453" t="s">
        <v>1679</v>
      </c>
      <c r="B58" s="454"/>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7"/>
      <c r="Q58" s="2738"/>
      <c r="R58" s="2738"/>
      <c r="S58" s="2738"/>
      <c r="T58" s="2738"/>
      <c r="U58" s="2738"/>
      <c r="V58" s="2738"/>
      <c r="W58" s="2738"/>
      <c r="X58" s="2738"/>
      <c r="Y58" s="2738"/>
      <c r="Z58" s="2738"/>
      <c r="AA58" s="2738"/>
      <c r="AB58" s="2738"/>
      <c r="AC58" s="2738"/>
    </row>
    <row r="59" spans="1:29" s="107" customFormat="1" ht="15">
      <c r="A59" s="457"/>
      <c r="B59" s="458"/>
      <c r="C59" s="1182">
        <v>100</v>
      </c>
      <c r="D59" s="460"/>
      <c r="E59" s="460"/>
      <c r="F59" s="460"/>
      <c r="G59" s="460"/>
      <c r="H59" s="460"/>
      <c r="I59" s="460"/>
      <c r="J59" s="460"/>
      <c r="K59" s="460"/>
      <c r="L59" s="460"/>
      <c r="M59" s="461"/>
      <c r="N59" s="460"/>
      <c r="O59" s="461"/>
      <c r="P59" s="2739"/>
      <c r="Q59" s="2659"/>
      <c r="R59" s="2659"/>
      <c r="S59" s="2659"/>
      <c r="T59" s="2659"/>
      <c r="U59" s="2659"/>
      <c r="V59" s="2659"/>
      <c r="W59" s="2659"/>
      <c r="X59" s="2659"/>
      <c r="Y59" s="2659"/>
      <c r="Z59" s="2659"/>
      <c r="AA59" s="2659"/>
      <c r="AB59" s="2659"/>
      <c r="AC59" s="2659"/>
    </row>
    <row r="60" spans="1:29" s="107" customFormat="1" ht="15.75" thickBot="1">
      <c r="A60" s="463" t="s">
        <v>1716</v>
      </c>
      <c r="B60" s="464"/>
      <c r="C60" s="465"/>
      <c r="D60" s="466"/>
      <c r="E60" s="466"/>
      <c r="F60" s="466"/>
      <c r="G60" s="466"/>
      <c r="H60" s="466"/>
      <c r="I60" s="466"/>
      <c r="J60" s="466"/>
      <c r="K60" s="466"/>
      <c r="L60" s="466"/>
      <c r="M60" s="467"/>
      <c r="N60" s="466"/>
      <c r="O60" s="467"/>
      <c r="P60" s="2739"/>
      <c r="Q60" s="2736"/>
      <c r="R60" s="2659"/>
      <c r="S60" s="2659"/>
      <c r="T60" s="2659"/>
      <c r="U60" s="2659"/>
      <c r="V60" s="2659"/>
      <c r="W60" s="2659"/>
      <c r="X60" s="2659"/>
      <c r="Y60" s="2659"/>
      <c r="Z60" s="2659"/>
      <c r="AA60" s="2659"/>
      <c r="AB60" s="2659"/>
      <c r="AC60" s="2659"/>
    </row>
    <row r="61" spans="1:29" s="107" customFormat="1" ht="15">
      <c r="A61" s="469" t="s">
        <v>1681</v>
      </c>
      <c r="B61" s="458"/>
      <c r="C61" s="470" t="s">
        <v>1776</v>
      </c>
      <c r="D61" s="3477" t="s">
        <v>3431</v>
      </c>
      <c r="E61" s="471"/>
      <c r="F61" s="471"/>
      <c r="G61" s="471"/>
      <c r="H61" s="471"/>
      <c r="I61" s="471"/>
      <c r="J61" s="471"/>
      <c r="K61" s="471"/>
      <c r="L61" s="472"/>
      <c r="M61" s="473"/>
      <c r="N61" s="2749"/>
      <c r="O61" s="2749"/>
      <c r="P61" s="2740"/>
      <c r="Q61" s="2736"/>
      <c r="R61" s="2659"/>
      <c r="S61" s="2659"/>
      <c r="T61" s="2659"/>
      <c r="U61" s="2659"/>
      <c r="V61" s="2659"/>
      <c r="W61" s="2659"/>
      <c r="X61" s="2659"/>
      <c r="Y61" s="2659"/>
      <c r="Z61" s="2659"/>
      <c r="AA61" s="2659"/>
      <c r="AB61" s="2659"/>
      <c r="AC61" s="2659"/>
    </row>
    <row r="62" spans="1:29" s="107" customFormat="1" ht="15.75" thickBot="1">
      <c r="A62" s="469"/>
      <c r="B62" s="458"/>
      <c r="C62" s="459">
        <v>100</v>
      </c>
      <c r="D62" s="460">
        <v>105</v>
      </c>
      <c r="E62" s="460"/>
      <c r="F62" s="460"/>
      <c r="G62" s="460"/>
      <c r="H62" s="460"/>
      <c r="I62" s="460"/>
      <c r="J62" s="460"/>
      <c r="K62" s="460"/>
      <c r="L62" s="460"/>
      <c r="M62" s="462"/>
      <c r="N62" s="2749"/>
      <c r="O62" s="2749"/>
      <c r="P62" s="2739"/>
      <c r="Q62" s="2736"/>
      <c r="R62" s="2659"/>
      <c r="S62" s="2659"/>
      <c r="T62" s="2659"/>
      <c r="U62" s="2659"/>
      <c r="V62" s="2659"/>
      <c r="W62" s="2659"/>
      <c r="X62" s="2659"/>
      <c r="Y62" s="2659"/>
      <c r="Z62" s="2659"/>
      <c r="AA62" s="2659"/>
      <c r="AB62" s="2659"/>
      <c r="AC62" s="2659"/>
    </row>
    <row r="63" spans="1:29">
      <c r="A63" s="475" t="s">
        <v>1719</v>
      </c>
      <c r="B63" s="476" t="s">
        <v>1685</v>
      </c>
      <c r="C63" s="477" t="str">
        <f>C9</f>
        <v>商业</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t="s">
        <v>3432</v>
      </c>
      <c r="D65" s="531" t="s">
        <v>3433</v>
      </c>
      <c r="E65" s="531" t="s">
        <v>3434</v>
      </c>
      <c r="F65" s="531" t="s">
        <v>3435</v>
      </c>
      <c r="G65" s="531" t="s">
        <v>3436</v>
      </c>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v>100</v>
      </c>
      <c r="D66" s="484">
        <v>98</v>
      </c>
      <c r="E66" s="484">
        <v>96</v>
      </c>
      <c r="F66" s="484">
        <v>94</v>
      </c>
      <c r="G66" s="484">
        <v>92</v>
      </c>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v>0</v>
      </c>
      <c r="D68" s="497">
        <v>1</v>
      </c>
      <c r="E68" s="497">
        <v>2</v>
      </c>
      <c r="F68" s="497">
        <v>3</v>
      </c>
      <c r="G68" s="497">
        <v>4</v>
      </c>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8"/>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7" customFormat="1" ht="15.75" thickTop="1">
      <c r="A86" s="527"/>
      <c r="B86" s="486" t="s">
        <v>1804</v>
      </c>
      <c r="C86" s="3480" t="s">
        <v>3442</v>
      </c>
      <c r="D86" s="3480" t="s">
        <v>3443</v>
      </c>
      <c r="E86" s="3480" t="s">
        <v>3445</v>
      </c>
      <c r="F86" s="3480" t="s">
        <v>3447</v>
      </c>
      <c r="G86" s="502"/>
      <c r="H86" s="502"/>
      <c r="I86" s="502"/>
      <c r="J86" s="502"/>
      <c r="K86" s="502"/>
      <c r="L86" s="528"/>
      <c r="M86" s="529"/>
      <c r="N86" s="2749"/>
      <c r="O86" s="2749"/>
      <c r="P86" s="2741"/>
      <c r="Q86" s="2736"/>
      <c r="R86" s="2659"/>
      <c r="S86" s="2659"/>
      <c r="T86" s="2659"/>
      <c r="U86" s="2659"/>
      <c r="V86" s="2659"/>
      <c r="W86" s="2659"/>
      <c r="X86" s="2659"/>
      <c r="Y86" s="2659"/>
      <c r="Z86" s="2659"/>
      <c r="AA86" s="2659"/>
      <c r="AB86" s="2659"/>
      <c r="AC86" s="2659"/>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51"/>
      <c r="O87" s="2751"/>
      <c r="P87" s="2741"/>
      <c r="Q87" s="2736"/>
      <c r="R87" s="2659"/>
      <c r="S87" s="2659"/>
      <c r="T87" s="2659"/>
      <c r="U87" s="2659"/>
      <c r="V87" s="2659"/>
      <c r="W87" s="2659"/>
      <c r="X87" s="2659"/>
      <c r="Y87" s="2659"/>
      <c r="Z87" s="2659"/>
      <c r="AA87" s="2659"/>
      <c r="AB87" s="2659"/>
      <c r="AC87" s="2659"/>
    </row>
    <row r="88" spans="1:29" s="107" customFormat="1" ht="15.75" thickTop="1">
      <c r="A88" s="527"/>
      <c r="B88" s="486" t="str">
        <f>B26</f>
        <v>平面位置/可视性</v>
      </c>
      <c r="C88" s="502"/>
      <c r="D88" s="502"/>
      <c r="E88" s="502"/>
      <c r="F88" s="1926"/>
      <c r="G88" s="502"/>
      <c r="H88" s="502"/>
      <c r="I88" s="502"/>
      <c r="J88" s="502"/>
      <c r="K88" s="502"/>
      <c r="L88" s="502"/>
      <c r="M88" s="529"/>
      <c r="N88" s="2749"/>
      <c r="O88" s="2749"/>
      <c r="P88" s="2741"/>
      <c r="Q88" s="2736"/>
      <c r="R88" s="2659"/>
      <c r="S88" s="2659"/>
      <c r="T88" s="2659"/>
      <c r="U88" s="2659"/>
      <c r="V88" s="2659"/>
      <c r="W88" s="2659"/>
      <c r="X88" s="2659"/>
      <c r="Y88" s="2659"/>
      <c r="Z88" s="2659"/>
      <c r="AA88" s="2659"/>
      <c r="AB88" s="2659"/>
      <c r="AC88" s="2659"/>
    </row>
    <row r="89" spans="1:29" s="107" customFormat="1" ht="15.75" thickBot="1">
      <c r="A89" s="527"/>
      <c r="B89" s="491"/>
      <c r="C89" s="508"/>
      <c r="D89" s="484"/>
      <c r="E89" s="484"/>
      <c r="F89" s="484"/>
      <c r="G89" s="484"/>
      <c r="H89" s="484"/>
      <c r="I89" s="484"/>
      <c r="J89" s="484"/>
      <c r="K89" s="484"/>
      <c r="L89" s="484"/>
      <c r="M89" s="484"/>
      <c r="N89" s="2751"/>
      <c r="O89" s="2751"/>
      <c r="P89" s="2741"/>
      <c r="Q89" s="2736"/>
      <c r="R89" s="2659"/>
      <c r="S89" s="2659"/>
      <c r="T89" s="2659"/>
      <c r="U89" s="2659"/>
      <c r="V89" s="2659"/>
      <c r="W89" s="2659"/>
      <c r="X89" s="2659"/>
      <c r="Y89" s="2659"/>
      <c r="Z89" s="2659"/>
      <c r="AA89" s="2659"/>
      <c r="AB89" s="2659"/>
      <c r="AC89" s="2659"/>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t="s">
        <v>3425</v>
      </c>
      <c r="D92" s="502" t="s">
        <v>3426</v>
      </c>
      <c r="E92" s="502" t="s">
        <v>3427</v>
      </c>
      <c r="F92" s="502" t="s">
        <v>3441</v>
      </c>
      <c r="G92" s="502" t="s">
        <v>3440</v>
      </c>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v>100</v>
      </c>
      <c r="D93" s="484">
        <v>70</v>
      </c>
      <c r="E93" s="484">
        <f>ROUND((C93+D93)/2,2)</f>
        <v>85</v>
      </c>
      <c r="F93" s="484">
        <v>45</v>
      </c>
      <c r="G93" s="484">
        <f>ROUND((C93+D93+F93)/3,0)</f>
        <v>72</v>
      </c>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7"/>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500(含)-600</v>
      </c>
      <c r="I102" s="526" t="str">
        <f t="shared" si="23"/>
        <v>600(含)-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v>0</v>
      </c>
      <c r="D103" s="543">
        <v>100</v>
      </c>
      <c r="E103" s="543">
        <v>200</v>
      </c>
      <c r="F103" s="543">
        <v>300</v>
      </c>
      <c r="G103" s="543">
        <v>400</v>
      </c>
      <c r="H103" s="543">
        <v>500</v>
      </c>
      <c r="I103" s="543">
        <v>600</v>
      </c>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v>100</v>
      </c>
      <c r="D104" s="484">
        <v>99</v>
      </c>
      <c r="E104" s="484">
        <v>98</v>
      </c>
      <c r="F104" s="484">
        <v>97</v>
      </c>
      <c r="G104" s="484">
        <v>96</v>
      </c>
      <c r="H104" s="484">
        <v>95</v>
      </c>
      <c r="I104" s="484">
        <v>94</v>
      </c>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3480" t="s">
        <v>3439</v>
      </c>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101</v>
      </c>
      <c r="E111" s="492">
        <f t="shared" ref="E111:M111" si="26">D111+$K36</f>
        <v>102</v>
      </c>
      <c r="F111" s="492">
        <f t="shared" si="26"/>
        <v>103</v>
      </c>
      <c r="G111" s="492">
        <f t="shared" si="26"/>
        <v>104</v>
      </c>
      <c r="H111" s="492">
        <f t="shared" si="26"/>
        <v>105</v>
      </c>
      <c r="I111" s="492">
        <f t="shared" si="26"/>
        <v>106</v>
      </c>
      <c r="J111" s="492">
        <f t="shared" si="26"/>
        <v>107</v>
      </c>
      <c r="K111" s="492">
        <f t="shared" si="26"/>
        <v>108</v>
      </c>
      <c r="L111" s="492">
        <f t="shared" si="26"/>
        <v>109</v>
      </c>
      <c r="M111" s="492">
        <f t="shared" si="26"/>
        <v>110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t="str">
        <f>B45</f>
        <v>建成年代</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0">
        <f ca="1">ROUND(IF(D2="——",C52/10000,C52/10000-E2),4)</f>
        <v>220.60769999999999</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12663</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1093284</v>
      </c>
      <c r="D5" s="210" t="s">
        <v>1469</v>
      </c>
      <c r="E5" s="211" t="s">
        <v>1470</v>
      </c>
      <c r="F5" s="211" t="s">
        <v>1471</v>
      </c>
      <c r="G5" s="212"/>
    </row>
    <row r="6" spans="1:8" s="213" customFormat="1" ht="13.5" customHeight="1">
      <c r="A6" s="777" t="s">
        <v>1472</v>
      </c>
      <c r="B6" s="214" t="s">
        <v>1473</v>
      </c>
      <c r="C6" s="215">
        <f>基准地价修正!W2+基准地价修正!W3</f>
        <v>1028805</v>
      </c>
      <c r="D6" s="216"/>
      <c r="E6" s="217"/>
      <c r="F6" s="217"/>
      <c r="G6" s="218"/>
    </row>
    <row r="7" spans="1:8" s="213" customFormat="1" ht="13.5" customHeight="1">
      <c r="A7" s="777" t="s">
        <v>1474</v>
      </c>
      <c r="B7" s="214" t="s">
        <v>1475</v>
      </c>
      <c r="C7" s="219">
        <f>ROUND(C6*F7,0)</f>
        <v>31379</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33100</v>
      </c>
      <c r="D8" s="221"/>
      <c r="E8" s="219"/>
      <c r="F8" s="220"/>
      <c r="G8" s="1855" t="s">
        <v>3414</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150</v>
      </c>
      <c r="F9" s="220"/>
      <c r="G9" s="225"/>
    </row>
    <row r="10" spans="1:8" s="213" customFormat="1" ht="13.5" customHeight="1">
      <c r="A10" s="778" t="s">
        <v>356</v>
      </c>
      <c r="B10" s="223" t="s">
        <v>1480</v>
      </c>
      <c r="C10" s="224">
        <f ca="1">ROUND(D10*E10,0)</f>
        <v>33100</v>
      </c>
      <c r="D10" s="844">
        <f ca="1">IF(B1="",'数据-汇总表'!E6,IF(INDIRECT("'数据-取费表'!c"&amp;$G$1)="住宅",INDIRECT("'数据-取费表'!s"&amp;$G$1),INDIRECT("'数据-取费表'!k"&amp;$G$1)+INDIRECT("'数据-取费表'!s"&amp;$G$1)))</f>
        <v>174.21</v>
      </c>
      <c r="E10" s="224">
        <f>'数据-取费表'!B28</f>
        <v>190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174.21</v>
      </c>
      <c r="E19" s="210">
        <f>'数据-取费表'!B31</f>
        <v>200</v>
      </c>
      <c r="F19" s="230"/>
      <c r="G19" s="1855" t="s">
        <v>3416</v>
      </c>
    </row>
    <row r="20" spans="1:7" s="213" customFormat="1" ht="13.5" customHeight="1">
      <c r="A20" s="254" t="s">
        <v>1574</v>
      </c>
      <c r="B20" s="209" t="s">
        <v>1575</v>
      </c>
      <c r="C20" s="231">
        <f ca="1">ROUND((C5+C19)*F20,0)</f>
        <v>21866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77492</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76738</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754</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223030</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ROUND((C5+C19+C20)*F27,0)</f>
        <v>223030</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1533939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684210</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609735</v>
      </c>
      <c r="D34" s="216"/>
      <c r="E34" s="219"/>
      <c r="F34" s="256"/>
      <c r="G34" s="218"/>
    </row>
    <row r="35" spans="1:7" ht="13.5" customHeight="1">
      <c r="A35" s="779" t="s">
        <v>351</v>
      </c>
      <c r="B35" s="214" t="s">
        <v>1527</v>
      </c>
      <c r="C35" s="219">
        <f ca="1">ROUND(C34*F35,0)</f>
        <v>30487</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34842</v>
      </c>
      <c r="D37" s="216">
        <f ca="1">D19</f>
        <v>174.21</v>
      </c>
      <c r="E37" s="248">
        <f>'数据-取费表'!B35</f>
        <v>200</v>
      </c>
      <c r="F37" s="258"/>
      <c r="G37" s="260"/>
    </row>
    <row r="38" spans="1:7" ht="13.5" customHeight="1">
      <c r="A38" s="779" t="s">
        <v>354</v>
      </c>
      <c r="B38" s="214" t="s">
        <v>1533</v>
      </c>
      <c r="C38" s="219">
        <f ca="1">ROUND(C34*F38,0)</f>
        <v>9146</v>
      </c>
      <c r="D38" s="219"/>
      <c r="E38" s="219"/>
      <c r="F38" s="258">
        <f>'数据-取费表'!B36</f>
        <v>1.4999999999999999E-2</v>
      </c>
      <c r="G38" s="218" t="s">
        <v>1528</v>
      </c>
    </row>
    <row r="39" spans="1:7" s="213" customFormat="1" ht="13.5" customHeight="1">
      <c r="A39" s="254" t="s">
        <v>1534</v>
      </c>
      <c r="B39" s="209" t="s">
        <v>1535</v>
      </c>
      <c r="C39" s="231">
        <f ca="1">ROUND(C33*F20,0)</f>
        <v>13684</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24077</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23605</v>
      </c>
      <c r="D42" s="237"/>
      <c r="E42" s="237"/>
      <c r="F42" s="238"/>
      <c r="G42" s="3694" t="s">
        <v>1591</v>
      </c>
    </row>
    <row r="43" spans="1:7" ht="13.5" customHeight="1">
      <c r="A43" s="779" t="s">
        <v>347</v>
      </c>
      <c r="B43" s="214" t="s">
        <v>1545</v>
      </c>
      <c r="C43" s="237">
        <f ca="1">ROUND(IF('数据-取费表'!B22&lt;=1,C39*F22*'数据-取费表'!B20/2,C39*(POWER((1+F22),'数据-取费表'!B20/2)-1)),0)</f>
        <v>472</v>
      </c>
      <c r="D43" s="237"/>
      <c r="E43" s="237"/>
      <c r="F43" s="238"/>
      <c r="G43" s="3695"/>
    </row>
    <row r="44" spans="1:7" ht="13.5" customHeight="1">
      <c r="A44" s="779" t="s">
        <v>348</v>
      </c>
      <c r="B44" s="214" t="s">
        <v>1546</v>
      </c>
      <c r="C44" s="237">
        <f ca="1">ROUND(IF('数据-取费表'!B22&lt;=1,C40*F22*'数据-取费表'!B20/2,C40*(POWER((1+F22),'数据-取费表'!B20/2)-1)),4)</f>
        <v>6.9999999999999999E-4</v>
      </c>
      <c r="D44" s="237"/>
      <c r="E44" s="237"/>
      <c r="F44" s="238"/>
      <c r="G44" s="3696"/>
    </row>
    <row r="45" spans="1:7" s="213" customFormat="1" ht="13.5" customHeight="1">
      <c r="A45" s="254" t="s">
        <v>1547</v>
      </c>
      <c r="B45" s="243" t="s">
        <v>1513</v>
      </c>
      <c r="C45" s="244">
        <f ca="1">C46</f>
        <v>139579</v>
      </c>
      <c r="D45" s="234">
        <f ca="1">C47</f>
        <v>4.0000000000000001E-3</v>
      </c>
      <c r="E45" s="235" t="s">
        <v>1539</v>
      </c>
      <c r="F45" s="245">
        <f ca="1">F27</f>
        <v>0.2</v>
      </c>
      <c r="G45" s="246" t="s">
        <v>1548</v>
      </c>
    </row>
    <row r="46" spans="1:7" s="213" customFormat="1" ht="13.5" customHeight="1">
      <c r="A46" s="779" t="s">
        <v>346</v>
      </c>
      <c r="B46" s="247" t="s">
        <v>1549</v>
      </c>
      <c r="C46" s="248">
        <f ca="1">ROUND((C33+C39)*F27,0)</f>
        <v>139579</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933525</v>
      </c>
      <c r="D49" s="231"/>
      <c r="E49" s="231"/>
      <c r="F49" s="263"/>
      <c r="G49" s="233" t="s">
        <v>1554</v>
      </c>
    </row>
    <row r="50" spans="1:7" s="257" customFormat="1">
      <c r="A50" s="254" t="s">
        <v>1555</v>
      </c>
      <c r="B50" s="209" t="s">
        <v>1556</v>
      </c>
      <c r="C50" s="231"/>
      <c r="D50" s="231"/>
      <c r="E50" s="231"/>
      <c r="F50" s="263">
        <f>IF('数据-取费表'!B24=0,'数据-取费表'!N16,1)</f>
        <v>0.72</v>
      </c>
      <c r="G50" s="246"/>
    </row>
    <row r="51" spans="1:7" ht="16.5" customHeight="1">
      <c r="A51" s="254" t="s">
        <v>1558</v>
      </c>
      <c r="B51" s="209" t="s">
        <v>1593</v>
      </c>
      <c r="C51" s="231">
        <f ca="1">ROUND(C49*F50,0)</f>
        <v>672138</v>
      </c>
      <c r="D51" s="231"/>
      <c r="E51" s="231"/>
      <c r="F51" s="263"/>
      <c r="G51" s="233" t="s">
        <v>1560</v>
      </c>
    </row>
    <row r="52" spans="1:7" s="207" customFormat="1" ht="16.5" thickBot="1">
      <c r="A52" s="264" t="s">
        <v>1561</v>
      </c>
      <c r="B52" s="265"/>
      <c r="C52" s="266">
        <f ca="1">C31+C51</f>
        <v>2206077</v>
      </c>
      <c r="D52" s="265"/>
      <c r="E52" s="265"/>
      <c r="F52" s="265"/>
      <c r="G52" s="267"/>
    </row>
    <row r="55" spans="1:7" ht="15">
      <c r="B55" s="269" t="s">
        <v>1562</v>
      </c>
      <c r="C55" s="270"/>
    </row>
    <row r="56" spans="1:7">
      <c r="B56" s="272" t="s">
        <v>802</v>
      </c>
      <c r="C56" s="274">
        <f ca="1">1-C57</f>
        <v>0.69500000000000006</v>
      </c>
    </row>
    <row r="57" spans="1:7">
      <c r="B57" s="272" t="s">
        <v>803</v>
      </c>
      <c r="C57" s="273">
        <f ca="1">ROUND(C51/C52,3)</f>
        <v>0.30499999999999999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Normal="80" zoomScaleSheetLayoutView="100" workbookViewId="0">
      <selection activeCell="D40" sqref="D4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174.21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103</v>
      </c>
      <c r="C2" s="1998" t="s">
        <v>1935</v>
      </c>
      <c r="D2" s="1999" t="s">
        <v>1936</v>
      </c>
      <c r="E2" s="3418"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Ⅸ-密1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1.5418000000000001</v>
      </c>
      <c r="T2" s="3357">
        <f t="shared" ref="T2:T16" si="0">ROUND($C$5*$C$22*$C$23*$C$24*S2*$C$28,0)</f>
        <v>6670</v>
      </c>
      <c r="U2" s="1212">
        <f>ROUND('数据-汇总表'!F19/2,2)</f>
        <v>87.11</v>
      </c>
      <c r="V2" s="3357">
        <f>ROUND(T2*U2/10000,0)</f>
        <v>58</v>
      </c>
      <c r="W2" s="1215">
        <f>ROUND(T2*U2,0)</f>
        <v>581024</v>
      </c>
      <c r="X2" s="1215"/>
      <c r="Y2" s="1215"/>
      <c r="Z2" s="1215"/>
      <c r="AA2" s="1215"/>
      <c r="AB2" s="1215"/>
      <c r="AC2" s="1216"/>
      <c r="AD2" s="1217"/>
      <c r="AE2" s="1217"/>
      <c r="AF2" s="1217"/>
      <c r="AG2" s="1217"/>
      <c r="AH2" s="1217"/>
      <c r="AI2" s="1217"/>
      <c r="AJ2" s="1218"/>
    </row>
    <row r="3" spans="1:36" ht="15.75">
      <c r="A3" s="202" t="s">
        <v>1940</v>
      </c>
      <c r="B3" s="203">
        <f>ROUND(B2*10000/D1,0)</f>
        <v>5912</v>
      </c>
      <c r="C3" s="1998" t="s">
        <v>1941</v>
      </c>
      <c r="D3" s="1999" t="s">
        <v>1942</v>
      </c>
      <c r="E3" s="3416" t="s">
        <v>2442</v>
      </c>
      <c r="F3" s="2003" t="s">
        <v>3421</v>
      </c>
      <c r="G3" s="751">
        <f>IF(F3="宗地容积率",'数据-汇总表'!I4,IF(F3="估价对象容积率",'数据-汇总表'!I6,'数据-汇总表'!I7))</f>
        <v>2</v>
      </c>
      <c r="H3" s="169"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1.1883999999999999</v>
      </c>
      <c r="T3" s="3357">
        <f t="shared" si="0"/>
        <v>5141</v>
      </c>
      <c r="U3" s="1212">
        <v>87.1</v>
      </c>
      <c r="V3" s="3357">
        <f t="shared" ref="V3:V16" si="1">ROUND(T3*U3/10000,0)</f>
        <v>45</v>
      </c>
      <c r="W3" s="1215">
        <f>ROUND(T3*U3,0)</f>
        <v>447781</v>
      </c>
      <c r="X3" s="1215"/>
      <c r="Y3" s="1215"/>
      <c r="Z3" s="1215"/>
      <c r="AA3" s="1215"/>
      <c r="AB3" s="1215"/>
      <c r="AC3" s="1216"/>
      <c r="AD3" s="1217"/>
      <c r="AE3" s="1217"/>
      <c r="AF3" s="1217"/>
      <c r="AG3" s="1217"/>
      <c r="AH3" s="1217"/>
      <c r="AI3" s="1217"/>
      <c r="AJ3" s="1218"/>
    </row>
    <row r="4" spans="1:36" ht="15.75">
      <c r="A4" s="3750"/>
      <c r="B4" s="3751"/>
      <c r="C4" s="3751"/>
      <c r="D4" s="3752"/>
      <c r="E4" s="3752"/>
      <c r="F4" s="3752"/>
      <c r="G4" s="3752"/>
      <c r="H4" s="3752"/>
      <c r="I4" s="3752"/>
      <c r="J4" s="375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0.96940000000000004</v>
      </c>
      <c r="T4" s="3357">
        <f t="shared" si="0"/>
        <v>4194</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5640</v>
      </c>
      <c r="D5" s="1338">
        <f>ROUND(C6*C17+C20,0)</f>
        <v>5640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0.82299999999999995</v>
      </c>
      <c r="T5" s="3357">
        <f t="shared" si="0"/>
        <v>3560</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5620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0.74980000000000002</v>
      </c>
      <c r="T6" s="3357">
        <f t="shared" si="0"/>
        <v>3244</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3240</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1955</v>
      </c>
      <c r="X7" s="1213" t="str">
        <f>G2</f>
        <v>九级</v>
      </c>
      <c r="Y7" s="1213" t="s">
        <v>1956</v>
      </c>
      <c r="Z7" s="1214">
        <f>G3</f>
        <v>2</v>
      </c>
      <c r="AA7" s="1215"/>
      <c r="AB7" s="1215"/>
      <c r="AC7" s="1216"/>
      <c r="AD7" s="1217"/>
      <c r="AE7" s="1217"/>
      <c r="AF7" s="1217"/>
      <c r="AG7" s="1217"/>
      <c r="AH7" s="1217"/>
      <c r="AI7" s="1217"/>
      <c r="AJ7" s="1218"/>
    </row>
    <row r="8" spans="1:36" ht="25.5">
      <c r="A8" s="3295"/>
      <c r="B8" s="169" t="s">
        <v>1957</v>
      </c>
      <c r="C8" s="2025" t="s">
        <v>3410</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47" t="s">
        <v>1960</v>
      </c>
      <c r="X8" s="374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5620</v>
      </c>
      <c r="N9" s="865">
        <f>SUMPRODUCT((因素修正幅度!B277:B326=I2)*(因素修正幅度!C3:G3=E2)*(因素修正幅度!C277:G326))</f>
        <v>0.15</v>
      </c>
      <c r="O9" s="1118"/>
      <c r="P9" s="1118"/>
      <c r="Q9" s="1118"/>
      <c r="R9" s="1211">
        <v>8</v>
      </c>
      <c r="S9" s="1212"/>
      <c r="T9" s="3357">
        <f t="shared" si="0"/>
        <v>0</v>
      </c>
      <c r="U9" s="1212"/>
      <c r="V9" s="3357">
        <f t="shared" si="1"/>
        <v>0</v>
      </c>
      <c r="W9" s="3749"/>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4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6"/>
      <c r="AE11" s="2786"/>
      <c r="AF11" s="2786"/>
      <c r="AG11" s="2786"/>
      <c r="AH11" s="2786"/>
      <c r="AI11" s="2786"/>
      <c r="AJ11" s="2787"/>
    </row>
    <row r="12" spans="1:36" ht="25.5" thickBot="1">
      <c r="A12" s="3300" t="s">
        <v>3241</v>
      </c>
      <c r="B12" s="3301" t="s">
        <v>3242</v>
      </c>
      <c r="C12" s="3302">
        <v>1</v>
      </c>
      <c r="D12" s="3303" t="s">
        <v>3243</v>
      </c>
      <c r="E12" s="3304" t="s">
        <v>3244</v>
      </c>
      <c r="F12" s="3305"/>
      <c r="G12" s="3306"/>
      <c r="H12" s="3306"/>
      <c r="I12" s="3306"/>
      <c r="J12" s="3307"/>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6"/>
      <c r="AE12" s="2786"/>
      <c r="AF12" s="2786"/>
      <c r="AG12" s="2786"/>
      <c r="AH12" s="2786"/>
      <c r="AI12" s="2786"/>
      <c r="AJ12" s="2787"/>
    </row>
    <row r="13" spans="1:36" ht="15.75" thickBot="1">
      <c r="A13" s="3300" t="s">
        <v>3245</v>
      </c>
      <c r="B13" s="2033" t="s">
        <v>1982</v>
      </c>
      <c r="C13" s="754">
        <f>ROUND(C16*D16*E16*F16*G16*H16*I16*J16,4)</f>
        <v>0</v>
      </c>
      <c r="D13" s="2034" t="s">
        <v>1983</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6"/>
      <c r="AE13" s="2786"/>
      <c r="AF13" s="2786"/>
      <c r="AG13" s="2786"/>
      <c r="AH13" s="2786"/>
      <c r="AI13" s="2786"/>
      <c r="AJ13" s="2787"/>
    </row>
    <row r="14" spans="1:36" ht="15">
      <c r="A14" s="3294"/>
      <c r="B14" s="2039" t="s">
        <v>1985</v>
      </c>
      <c r="C14" s="2040" t="s">
        <v>1986</v>
      </c>
      <c r="D14" s="1349" t="s">
        <v>1987</v>
      </c>
      <c r="E14" s="27" t="s">
        <v>1988</v>
      </c>
      <c r="F14" s="3308" t="s">
        <v>3246</v>
      </c>
      <c r="G14" s="3308" t="s">
        <v>3246</v>
      </c>
      <c r="H14" s="3308" t="s">
        <v>3246</v>
      </c>
      <c r="I14" s="3308" t="s">
        <v>3246</v>
      </c>
      <c r="J14" s="3308" t="s">
        <v>3246</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6"/>
      <c r="AE14" s="2786"/>
      <c r="AF14" s="2786"/>
      <c r="AG14" s="2786"/>
      <c r="AH14" s="2786"/>
      <c r="AI14" s="2786"/>
      <c r="AJ14" s="2787"/>
    </row>
    <row r="15" spans="1:36" ht="15">
      <c r="A15" s="3294"/>
      <c r="B15" s="2041"/>
      <c r="C15" s="2042"/>
      <c r="D15" s="2043"/>
      <c r="E15" s="2044"/>
      <c r="F15" s="3309" t="s">
        <v>3247</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6"/>
      <c r="AE15" s="2786"/>
      <c r="AF15" s="2786"/>
      <c r="AG15" s="2786"/>
      <c r="AH15" s="2786"/>
      <c r="AI15" s="2786"/>
      <c r="AJ15" s="2787"/>
    </row>
    <row r="16" spans="1:36" ht="15.75" thickBot="1">
      <c r="A16" s="3294"/>
      <c r="B16" s="3316" t="s">
        <v>1989</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6"/>
      <c r="AE16" s="2786"/>
      <c r="AF16" s="2786"/>
      <c r="AG16" s="2786"/>
      <c r="AH16" s="2786"/>
      <c r="AI16" s="2786"/>
      <c r="AJ16" s="2787"/>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3251</v>
      </c>
      <c r="E18" s="3325"/>
      <c r="F18" s="3320" t="s">
        <v>3254</v>
      </c>
      <c r="G18" s="3324">
        <f>ROUND(1-(1/(POWER(1+G24,E18))),4)</f>
        <v>0</v>
      </c>
      <c r="H18" s="3320" t="s">
        <v>3256</v>
      </c>
      <c r="I18" s="3324">
        <f>ROUND(1-(1/(POWER(1+G24,J24))),4)</f>
        <v>0.88249999999999995</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1"/>
      <c r="B19" s="3332"/>
      <c r="C19" s="3333"/>
      <c r="D19" s="3333" t="s">
        <v>3252</v>
      </c>
      <c r="E19" s="3334"/>
      <c r="F19" s="3335" t="s">
        <v>3255</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54" t="s">
        <v>3257</v>
      </c>
      <c r="B20" s="166" t="s">
        <v>1994</v>
      </c>
      <c r="C20" s="3321">
        <f>ROUND(IF(F21="与级别开发程度一致",0,(G21-E21)/C21),0)</f>
        <v>20</v>
      </c>
      <c r="D20" s="3337" t="s">
        <v>1998</v>
      </c>
      <c r="E20" s="3338"/>
      <c r="F20" s="3760" t="s">
        <v>1995</v>
      </c>
      <c r="G20" s="3761"/>
      <c r="H20" s="3322" t="s">
        <v>3386</v>
      </c>
      <c r="I20" s="3322" t="s">
        <v>3387</v>
      </c>
      <c r="J20" s="3323" t="s">
        <v>3388</v>
      </c>
      <c r="K20" s="2046" t="s">
        <v>3389</v>
      </c>
      <c r="L20" s="2046" t="s">
        <v>3390</v>
      </c>
      <c r="M20" s="2046" t="s">
        <v>3422</v>
      </c>
      <c r="N20" s="2046" t="s">
        <v>3391</v>
      </c>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55"/>
      <c r="B21" s="2163" t="s">
        <v>1997</v>
      </c>
      <c r="C21" s="2164">
        <f>IF(E3="M4科研用地",SUMPRODUCT((修正!A2:A7=E3)*(修正!B1:M1=G2)*(修正!B2:M7)),SUMPRODUCT((修正!A2:A7=E2)*(修正!B1:M1=G2)*(修正!B2:M7)))</f>
        <v>2</v>
      </c>
      <c r="D21" s="186" t="str">
        <f>IF(OR(G2="八级",G2="九级",G2="十级",G2="十一级",G2="十二级"),"五通一平","七通一平")</f>
        <v>五通一平</v>
      </c>
      <c r="E21" s="2154">
        <f>SUMPRODUCT((修正!B1:M1=G2)*(修正!B17:M17))</f>
        <v>185</v>
      </c>
      <c r="F21" s="2155" t="s">
        <v>3419</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40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3" t="s">
        <v>2002</v>
      </c>
      <c r="E23" s="760">
        <v>44197</v>
      </c>
      <c r="F23" s="2053" t="s">
        <v>2003</v>
      </c>
      <c r="G23" s="761">
        <f>'数据-取费表'!B2</f>
        <v>45299</v>
      </c>
      <c r="H23" s="3339" t="s">
        <v>3258</v>
      </c>
      <c r="I23" s="3340" t="str">
        <f>IF(H23="季度增幅（自定义）",SUMIF(N25:N28,E2,O25:O28),"")</f>
        <v/>
      </c>
      <c r="J23" s="3442" t="s">
        <v>3504</v>
      </c>
      <c r="K23" s="1124"/>
      <c r="L23" s="2054" t="s">
        <v>2004</v>
      </c>
      <c r="M23" s="1327">
        <f>ROUND(SUMIF(地价!B2:G2,E2,地价!B16:G16),0)</f>
        <v>350</v>
      </c>
      <c r="N23" s="2055" t="s">
        <v>2005</v>
      </c>
      <c r="O23" s="762">
        <f>ROUNDDOWN(DATEDIF(E23,G23,"M")/3,0)</f>
        <v>12</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0.72340000000000004</v>
      </c>
      <c r="D24" s="2059" t="s">
        <v>2007</v>
      </c>
      <c r="E24" s="1334">
        <f>存贷款利率!E24/100</f>
        <v>4.3499999999999997E-2</v>
      </c>
      <c r="F24" s="2059" t="s">
        <v>1999</v>
      </c>
      <c r="G24" s="767">
        <f>SUMIF(M30:Q30,E2,M33:Q33)</f>
        <v>5.5E-2</v>
      </c>
      <c r="H24" s="2059" t="s">
        <v>2008</v>
      </c>
      <c r="I24" s="768">
        <f>SUMIF('数据-取费表'!C6:C15,E2,'数据-取费表'!F6:F15)/COUNTIF('数据-取费表'!C6:C15,E2)</f>
        <v>19</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3529</v>
      </c>
      <c r="C25" s="770">
        <f>IF(B25="容积率修正",IF(G3&lt;10,D26,J26),C27)</f>
        <v>1.5418000000000001</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1" t="s">
        <v>3259</v>
      </c>
      <c r="D26" s="1351">
        <f>IF(E26=G26,F26,IF(G3&lt;10,ROUND(F26+(H26-F26)*(G3-E26)/(G26-E26),4),"——"))</f>
        <v>1</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3260</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1.0164</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103</v>
      </c>
      <c r="D30" s="2082"/>
      <c r="E30" s="2045"/>
      <c r="F30" s="2083"/>
      <c r="G30" s="2045"/>
      <c r="H30" s="2045"/>
      <c r="I30" s="2045"/>
      <c r="J30" s="2084"/>
      <c r="K30" s="1118"/>
      <c r="L30" s="3347" t="s">
        <v>1936</v>
      </c>
      <c r="M30" s="3348" t="s">
        <v>1990</v>
      </c>
      <c r="N30" s="3348" t="s">
        <v>1991</v>
      </c>
      <c r="O30" s="3348" t="s">
        <v>1992</v>
      </c>
      <c r="P30" s="3348" t="s">
        <v>1993</v>
      </c>
      <c r="Q30" s="3351"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49" t="s">
        <v>1996</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0" t="s">
        <v>1999</v>
      </c>
      <c r="M32" s="2568">
        <f>ROUND($E$24*(1+M31),3)</f>
        <v>5.3999999999999999E-2</v>
      </c>
      <c r="N32" s="2568">
        <f>ROUND($E$24*(1+N31),3)</f>
        <v>5.1999999999999998E-2</v>
      </c>
      <c r="O32" s="2568">
        <f>ROUND($E$24*(1+O31),3)</f>
        <v>0.05</v>
      </c>
      <c r="P32" s="2568">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6670</v>
      </c>
      <c r="D33" s="2097">
        <f>'数据-汇总表'!E3</f>
        <v>174.21</v>
      </c>
      <c r="E33" s="772">
        <f>ROUND(C33*D33/10000,0)</f>
        <v>116</v>
      </c>
      <c r="F33" s="3342" t="s">
        <v>3262</v>
      </c>
      <c r="G33" s="2098"/>
      <c r="H33" s="2098"/>
      <c r="I33" s="2098"/>
      <c r="J33" s="2099"/>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3" t="s">
        <v>3263</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3" t="s">
        <v>3267</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8"/>
      <c r="B37" s="2112" t="s">
        <v>2036</v>
      </c>
      <c r="C37" s="174">
        <f>ROUND(D5*C22*C23*C24*C28*F37,0)</f>
        <v>2163</v>
      </c>
      <c r="D37" s="2097"/>
      <c r="E37" s="170">
        <f>ROUND(C37*D37/10000,0)</f>
        <v>0</v>
      </c>
      <c r="F37" s="170">
        <f>SUMIF(修正!A57:A68,G2,修正!B57:B68)</f>
        <v>0.5</v>
      </c>
      <c r="G37" s="170">
        <f>ROUND(IF(E2="工业",C37*$M$42,C37*$M$41),0)</f>
        <v>541</v>
      </c>
      <c r="H37" s="170">
        <f>D37</f>
        <v>0</v>
      </c>
      <c r="I37" s="170">
        <f>ROUND(G37*H37/10000,0)</f>
        <v>0</v>
      </c>
      <c r="J37" s="3008"/>
      <c r="K37" s="3355" t="s">
        <v>3268</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9"/>
      <c r="B38" s="2040" t="s">
        <v>2037</v>
      </c>
      <c r="C38" s="174">
        <f>ROUND(D5*C22*C23*C24*C28*F38,0)</f>
        <v>865</v>
      </c>
      <c r="D38" s="2097"/>
      <c r="E38" s="170">
        <f t="shared" ref="E38:E42" si="4">ROUND(C38*D38/10000,0)</f>
        <v>0</v>
      </c>
      <c r="F38" s="170">
        <f>SUMIF(修正!A57:A68,G2,修正!C57:C68)</f>
        <v>0.2</v>
      </c>
      <c r="G38" s="170">
        <f>ROUND(IF(E2="工业",C38*$M$42,C38*$M$41),0)</f>
        <v>216</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59"/>
      <c r="B39" s="2040" t="s">
        <v>3261</v>
      </c>
      <c r="C39" s="174">
        <f>ROUND(D5*C22*C23*C24*C28*F39,0)</f>
        <v>865</v>
      </c>
      <c r="D39" s="2097"/>
      <c r="E39" s="170">
        <f t="shared" si="4"/>
        <v>0</v>
      </c>
      <c r="F39" s="170">
        <f>SUMIF(修正!A57:A68,G2,修正!D57:D68)</f>
        <v>0.2</v>
      </c>
      <c r="G39" s="170">
        <f>ROUND(IF(E2="工业",C39*$M$42,C39*$M$41),0)</f>
        <v>216</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865</v>
      </c>
      <c r="D40" s="2097"/>
      <c r="E40" s="170">
        <f t="shared" si="4"/>
        <v>0</v>
      </c>
      <c r="F40" s="174">
        <f>SUMIF(修正!A57:A68,G2,修正!E57:E68)</f>
        <v>0.2</v>
      </c>
      <c r="G40" s="170">
        <f>ROUND(IF(E2="工业",C40*$M$42,C40*$M$41),0)</f>
        <v>216</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820</v>
      </c>
      <c r="D41" s="2097"/>
      <c r="E41" s="170">
        <f t="shared" si="4"/>
        <v>0</v>
      </c>
      <c r="F41" s="174">
        <f>SUMIF(修正!A57:A68,G2,修正!F57:F68)</f>
        <v>0.2</v>
      </c>
      <c r="G41" s="170">
        <f>ROUND(IF(E2="工业",C41*$M$42,C41*$M$41),0)</f>
        <v>205</v>
      </c>
      <c r="H41" s="170">
        <f t="shared" si="5"/>
        <v>0</v>
      </c>
      <c r="I41" s="170">
        <f t="shared" si="6"/>
        <v>0</v>
      </c>
      <c r="J41" s="2113"/>
      <c r="L41" s="3356" t="s">
        <v>3269</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410</v>
      </c>
      <c r="D42" s="2102"/>
      <c r="E42" s="186">
        <f t="shared" si="4"/>
        <v>0</v>
      </c>
      <c r="F42" s="766">
        <f>SUMIF(修正!A57:A68,G2,修正!G57:G68)</f>
        <v>0.1</v>
      </c>
      <c r="G42" s="186">
        <f>ROUND(IF(E2="工业",C42*$M$42,C42*$M$41),0)</f>
        <v>103</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0.68559999999999999</v>
      </c>
      <c r="D44" s="170" t="s">
        <v>1999</v>
      </c>
      <c r="E44" s="2152">
        <f>G24</f>
        <v>5.5E-2</v>
      </c>
      <c r="F44" s="170" t="s">
        <v>2008</v>
      </c>
      <c r="G44" s="182">
        <f>项目基本情况!D15</f>
        <v>19</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1.0164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3411</v>
      </c>
      <c r="D50" s="1064">
        <f t="shared" ref="D50:D58" si="7">SUMIF($J$49:$N$49,C50,J50:N50)</f>
        <v>0</v>
      </c>
      <c r="E50" s="743">
        <f>ROUND(SUM(D50:D58),4)</f>
        <v>1.6400000000000001E-2</v>
      </c>
      <c r="F50" s="1813">
        <f>IF(E2="商业",SUMIF(L1:L12,G2,N1:N12),"——")</f>
        <v>0.15</v>
      </c>
      <c r="G50" s="1062">
        <f>H50</f>
        <v>2.2499999999999999E-2</v>
      </c>
      <c r="H50" s="1065">
        <f t="shared" ref="H50:H58" si="8">IFERROR(ROUNDDOWN($F$50*I50/2,4),"——")</f>
        <v>2.2499999999999999E-2</v>
      </c>
      <c r="I50" s="3363">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3411</v>
      </c>
      <c r="D51" s="1064">
        <f t="shared" si="7"/>
        <v>0</v>
      </c>
      <c r="E51" s="744"/>
      <c r="F51" s="1813"/>
      <c r="G51" s="1062">
        <f t="shared" ref="G51:G58" si="12">H51</f>
        <v>1.6500000000000001E-2</v>
      </c>
      <c r="H51" s="1065">
        <f t="shared" si="8"/>
        <v>1.6500000000000001E-2</v>
      </c>
      <c r="I51" s="3363">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5" t="s">
        <v>3271</v>
      </c>
      <c r="B52" s="2133">
        <f>估价对象房地状况!C19</f>
        <v>0</v>
      </c>
      <c r="C52" s="2043" t="s">
        <v>3412</v>
      </c>
      <c r="D52" s="1064">
        <f t="shared" si="7"/>
        <v>8.9999999999999993E-3</v>
      </c>
      <c r="E52" s="744"/>
      <c r="F52" s="1813"/>
      <c r="G52" s="1062">
        <f t="shared" si="12"/>
        <v>8.9999999999999993E-3</v>
      </c>
      <c r="H52" s="1065">
        <f t="shared" si="8"/>
        <v>8.9999999999999993E-3</v>
      </c>
      <c r="I52" s="3363">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3412</v>
      </c>
      <c r="D53" s="1064">
        <f t="shared" si="7"/>
        <v>3.7000000000000002E-3</v>
      </c>
      <c r="E53" s="744"/>
      <c r="F53" s="1813"/>
      <c r="G53" s="1062">
        <f t="shared" si="12"/>
        <v>3.7000000000000002E-3</v>
      </c>
      <c r="H53" s="1065">
        <f t="shared" si="8"/>
        <v>3.7000000000000002E-3</v>
      </c>
      <c r="I53" s="3363">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3519</v>
      </c>
      <c r="D54" s="1064">
        <f t="shared" si="7"/>
        <v>-6.0000000000000001E-3</v>
      </c>
      <c r="E54" s="744"/>
      <c r="F54" s="1813"/>
      <c r="G54" s="1062">
        <f t="shared" si="12"/>
        <v>6.0000000000000001E-3</v>
      </c>
      <c r="H54" s="1065">
        <f t="shared" si="8"/>
        <v>6.0000000000000001E-3</v>
      </c>
      <c r="I54" s="3363">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9" t="s">
        <v>2057</v>
      </c>
      <c r="B55" s="2135" t="s">
        <v>2058</v>
      </c>
      <c r="C55" s="2043" t="s">
        <v>3412</v>
      </c>
      <c r="D55" s="1064">
        <f t="shared" si="7"/>
        <v>3.7000000000000002E-3</v>
      </c>
      <c r="E55" s="744"/>
      <c r="F55" s="1813"/>
      <c r="G55" s="1062">
        <f t="shared" si="12"/>
        <v>3.7000000000000002E-3</v>
      </c>
      <c r="H55" s="1065">
        <f t="shared" si="8"/>
        <v>3.7000000000000002E-3</v>
      </c>
      <c r="I55" s="3363">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3411</v>
      </c>
      <c r="D56" s="1064">
        <f t="shared" si="7"/>
        <v>0</v>
      </c>
      <c r="E56" s="744"/>
      <c r="F56" s="1813"/>
      <c r="G56" s="1062">
        <f t="shared" si="12"/>
        <v>3.7000000000000002E-3</v>
      </c>
      <c r="H56" s="1065">
        <f t="shared" si="8"/>
        <v>3.7000000000000002E-3</v>
      </c>
      <c r="I56" s="3363">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3412</v>
      </c>
      <c r="D57" s="1064">
        <f t="shared" si="7"/>
        <v>6.0000000000000001E-3</v>
      </c>
      <c r="E57" s="744"/>
      <c r="F57" s="1813"/>
      <c r="G57" s="1062">
        <f t="shared" si="12"/>
        <v>6.0000000000000001E-3</v>
      </c>
      <c r="H57" s="1065">
        <f t="shared" si="8"/>
        <v>6.0000000000000001E-3</v>
      </c>
      <c r="I57" s="3363">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3411</v>
      </c>
      <c r="D58" s="1064">
        <f t="shared" si="7"/>
        <v>0</v>
      </c>
      <c r="E58" s="745"/>
      <c r="F58" s="1813"/>
      <c r="G58" s="1062">
        <f t="shared" si="12"/>
        <v>3.7000000000000002E-3</v>
      </c>
      <c r="H58" s="1065">
        <f t="shared" si="8"/>
        <v>3.7000000000000002E-3</v>
      </c>
      <c r="I58" s="3364">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5" t="s">
        <v>2062</v>
      </c>
      <c r="B59" s="2126" t="e">
        <f>1+E61</f>
        <v>#VALUE!</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3503" t="s">
        <v>3411</v>
      </c>
      <c r="D61" s="1064">
        <f t="shared" ref="D61:D69" si="13">SUMIF($J$60:$N$60,C61,J61:N61)</f>
        <v>0</v>
      </c>
      <c r="E61" s="743" t="e">
        <f>ROUND(SUM(D61:D69),4)</f>
        <v>#VALUE!</v>
      </c>
      <c r="F61" s="1813" t="str">
        <f>IF(E2="办公",SUMIF(L1:L12,G2,N1:N12),"——")</f>
        <v>——</v>
      </c>
      <c r="G61" s="1062" t="str">
        <f>H61</f>
        <v>——</v>
      </c>
      <c r="H61" s="1065" t="str">
        <f t="shared" ref="H61:H69" si="14">IFERROR(ROUNDDOWN($F$61*I61/2,4),"——")</f>
        <v>——</v>
      </c>
      <c r="I61" s="3363">
        <v>0.25</v>
      </c>
      <c r="J61" s="1063" t="e">
        <f t="shared" ref="J61:J69" si="15">K61+$G61</f>
        <v>#VALUE!</v>
      </c>
      <c r="K61" s="1063" t="e">
        <f t="shared" ref="K61:K69" si="16">$L61+$G61</f>
        <v>#VALUE!</v>
      </c>
      <c r="L61" s="1063">
        <v>0</v>
      </c>
      <c r="M61" s="1063" t="e">
        <f t="shared" ref="M61:N69" si="17">L61-$G61</f>
        <v>#VALUE!</v>
      </c>
      <c r="N61" s="1063" t="e">
        <f t="shared" si="17"/>
        <v>#VALUE!</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3412</v>
      </c>
      <c r="D62" s="1064" t="e">
        <f t="shared" si="13"/>
        <v>#VALUE!</v>
      </c>
      <c r="E62" s="744"/>
      <c r="F62" s="1813"/>
      <c r="G62" s="1062" t="str">
        <f t="shared" ref="G62:G69" si="18">H62</f>
        <v>——</v>
      </c>
      <c r="H62" s="1065" t="str">
        <f t="shared" si="14"/>
        <v>——</v>
      </c>
      <c r="I62" s="3363">
        <v>0.26</v>
      </c>
      <c r="J62" s="1063" t="e">
        <f t="shared" si="15"/>
        <v>#VALUE!</v>
      </c>
      <c r="K62" s="1063" t="e">
        <f t="shared" si="16"/>
        <v>#VALUE!</v>
      </c>
      <c r="L62" s="1063">
        <v>0</v>
      </c>
      <c r="M62" s="1063" t="e">
        <f t="shared" si="17"/>
        <v>#VALUE!</v>
      </c>
      <c r="N62" s="1063" t="e">
        <f t="shared" si="17"/>
        <v>#VALUE!</v>
      </c>
      <c r="AA62" s="1119"/>
      <c r="AB62" s="1119"/>
      <c r="AC62" s="1119"/>
      <c r="AD62" s="1119"/>
      <c r="AE62" s="1119"/>
      <c r="AF62" s="1119"/>
      <c r="AG62" s="1119"/>
      <c r="AH62" s="1119"/>
      <c r="AI62" s="1119"/>
      <c r="AJ62" s="1119"/>
      <c r="AK62" s="1119"/>
    </row>
    <row r="63" spans="1:37" s="1118" customFormat="1" ht="36">
      <c r="A63" s="3365" t="s">
        <v>3271</v>
      </c>
      <c r="B63" s="2133">
        <f>估价对象房地状况!C19</f>
        <v>0</v>
      </c>
      <c r="C63" s="2043" t="s">
        <v>3412</v>
      </c>
      <c r="D63" s="1064" t="e">
        <f t="shared" si="13"/>
        <v>#VALUE!</v>
      </c>
      <c r="E63" s="744"/>
      <c r="F63" s="1813"/>
      <c r="G63" s="1062" t="str">
        <f t="shared" si="18"/>
        <v>——</v>
      </c>
      <c r="H63" s="1065" t="str">
        <f t="shared" si="14"/>
        <v>——</v>
      </c>
      <c r="I63" s="3363">
        <v>0.11</v>
      </c>
      <c r="J63" s="1063" t="e">
        <f t="shared" si="15"/>
        <v>#VALUE!</v>
      </c>
      <c r="K63" s="1063" t="e">
        <f t="shared" si="16"/>
        <v>#VALUE!</v>
      </c>
      <c r="L63" s="1063">
        <v>0</v>
      </c>
      <c r="M63" s="1063" t="e">
        <f t="shared" si="17"/>
        <v>#VALUE!</v>
      </c>
      <c r="N63" s="1063" t="e">
        <f t="shared" si="17"/>
        <v>#VALUE!</v>
      </c>
      <c r="AA63" s="1119"/>
      <c r="AB63" s="1119"/>
      <c r="AC63" s="1119"/>
      <c r="AD63" s="1119"/>
      <c r="AE63" s="1119"/>
      <c r="AF63" s="1119"/>
      <c r="AG63" s="1119"/>
      <c r="AH63" s="1119"/>
      <c r="AI63" s="1119"/>
      <c r="AJ63" s="1119"/>
      <c r="AK63" s="1119"/>
    </row>
    <row r="64" spans="1:37" s="1118" customFormat="1" ht="36.75">
      <c r="A64" s="2129" t="s">
        <v>2054</v>
      </c>
      <c r="B64" s="2134" t="s">
        <v>2055</v>
      </c>
      <c r="C64" s="2043" t="s">
        <v>3412</v>
      </c>
      <c r="D64" s="1064" t="e">
        <f t="shared" si="13"/>
        <v>#VALUE!</v>
      </c>
      <c r="E64" s="744"/>
      <c r="F64" s="1813"/>
      <c r="G64" s="1062" t="str">
        <f t="shared" si="18"/>
        <v>——</v>
      </c>
      <c r="H64" s="1065" t="str">
        <f t="shared" si="14"/>
        <v>——</v>
      </c>
      <c r="I64" s="3363">
        <v>0.05</v>
      </c>
      <c r="J64" s="1063" t="e">
        <f t="shared" si="15"/>
        <v>#VALUE!</v>
      </c>
      <c r="K64" s="1063" t="e">
        <f t="shared" si="16"/>
        <v>#VALUE!</v>
      </c>
      <c r="L64" s="1063">
        <v>0</v>
      </c>
      <c r="M64" s="1063" t="e">
        <f t="shared" si="17"/>
        <v>#VALUE!</v>
      </c>
      <c r="N64" s="1063" t="e">
        <f t="shared" si="17"/>
        <v>#VALUE!</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3411</v>
      </c>
      <c r="D65" s="1064">
        <f t="shared" si="13"/>
        <v>0</v>
      </c>
      <c r="E65" s="744"/>
      <c r="F65" s="1813"/>
      <c r="G65" s="1062" t="str">
        <f t="shared" si="18"/>
        <v>——</v>
      </c>
      <c r="H65" s="1065" t="str">
        <f t="shared" si="14"/>
        <v>——</v>
      </c>
      <c r="I65" s="3363">
        <v>0.05</v>
      </c>
      <c r="J65" s="1063" t="e">
        <f t="shared" si="15"/>
        <v>#VALUE!</v>
      </c>
      <c r="K65" s="1063" t="e">
        <f t="shared" si="16"/>
        <v>#VALUE!</v>
      </c>
      <c r="L65" s="1063">
        <v>0</v>
      </c>
      <c r="M65" s="1063" t="e">
        <f t="shared" si="17"/>
        <v>#VALUE!</v>
      </c>
      <c r="N65" s="1063" t="e">
        <f t="shared" si="17"/>
        <v>#VALUE!</v>
      </c>
      <c r="AA65" s="1119"/>
      <c r="AB65" s="1119"/>
      <c r="AC65" s="1119"/>
      <c r="AD65" s="1119"/>
      <c r="AE65" s="1119"/>
      <c r="AF65" s="1119"/>
      <c r="AG65" s="1119"/>
      <c r="AH65" s="1119"/>
      <c r="AI65" s="1119"/>
      <c r="AJ65" s="1119"/>
      <c r="AK65" s="1119"/>
    </row>
    <row r="66" spans="1:37" s="1118" customFormat="1" ht="24">
      <c r="A66" s="2129" t="s">
        <v>2057</v>
      </c>
      <c r="B66" s="2135" t="s">
        <v>2058</v>
      </c>
      <c r="C66" s="2043" t="s">
        <v>3412</v>
      </c>
      <c r="D66" s="1064" t="e">
        <f t="shared" si="13"/>
        <v>#VALUE!</v>
      </c>
      <c r="E66" s="744"/>
      <c r="F66" s="1813"/>
      <c r="G66" s="1062" t="str">
        <f t="shared" si="18"/>
        <v>——</v>
      </c>
      <c r="H66" s="1065" t="str">
        <f t="shared" si="14"/>
        <v>——</v>
      </c>
      <c r="I66" s="3363">
        <v>0.06</v>
      </c>
      <c r="J66" s="1063" t="e">
        <f t="shared" si="15"/>
        <v>#VALUE!</v>
      </c>
      <c r="K66" s="1063" t="e">
        <f t="shared" si="16"/>
        <v>#VALUE!</v>
      </c>
      <c r="L66" s="1063">
        <v>0</v>
      </c>
      <c r="M66" s="1063" t="e">
        <f t="shared" si="17"/>
        <v>#VALUE!</v>
      </c>
      <c r="N66" s="1063" t="e">
        <f t="shared" si="17"/>
        <v>#VALUE!</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3412</v>
      </c>
      <c r="D67" s="1064" t="e">
        <f t="shared" si="13"/>
        <v>#VALUE!</v>
      </c>
      <c r="E67" s="744"/>
      <c r="F67" s="1813"/>
      <c r="G67" s="1062" t="str">
        <f t="shared" si="18"/>
        <v>——</v>
      </c>
      <c r="H67" s="1065" t="str">
        <f t="shared" si="14"/>
        <v>——</v>
      </c>
      <c r="I67" s="3363">
        <v>0.06</v>
      </c>
      <c r="J67" s="1063" t="e">
        <f t="shared" si="15"/>
        <v>#VALUE!</v>
      </c>
      <c r="K67" s="1063" t="e">
        <f t="shared" si="16"/>
        <v>#VALUE!</v>
      </c>
      <c r="L67" s="1063">
        <v>0</v>
      </c>
      <c r="M67" s="1063" t="e">
        <f t="shared" si="17"/>
        <v>#VALUE!</v>
      </c>
      <c r="N67" s="1063" t="e">
        <f t="shared" si="17"/>
        <v>#VALUE!</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3413</v>
      </c>
      <c r="D68" s="1064" t="e">
        <f t="shared" si="13"/>
        <v>#VALUE!</v>
      </c>
      <c r="E68" s="744"/>
      <c r="F68" s="1813"/>
      <c r="G68" s="1062" t="str">
        <f t="shared" si="18"/>
        <v>——</v>
      </c>
      <c r="H68" s="1065" t="str">
        <f t="shared" si="14"/>
        <v>——</v>
      </c>
      <c r="I68" s="3363">
        <v>0.09</v>
      </c>
      <c r="J68" s="1063" t="e">
        <f t="shared" si="15"/>
        <v>#VALUE!</v>
      </c>
      <c r="K68" s="1063" t="e">
        <f t="shared" si="16"/>
        <v>#VALUE!</v>
      </c>
      <c r="L68" s="1063">
        <v>0</v>
      </c>
      <c r="M68" s="1063" t="e">
        <f t="shared" si="17"/>
        <v>#VALUE!</v>
      </c>
      <c r="N68" s="1063" t="e">
        <f t="shared" si="17"/>
        <v>#VALUE!</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3411</v>
      </c>
      <c r="D69" s="1064">
        <f t="shared" si="13"/>
        <v>0</v>
      </c>
      <c r="E69" s="745"/>
      <c r="F69" s="1813"/>
      <c r="G69" s="1062" t="str">
        <f t="shared" si="18"/>
        <v>——</v>
      </c>
      <c r="H69" s="1065" t="str">
        <f t="shared" si="14"/>
        <v>——</v>
      </c>
      <c r="I69" s="3364">
        <v>7.0000000000000007E-2</v>
      </c>
      <c r="J69" s="1063" t="e">
        <f t="shared" si="15"/>
        <v>#VALUE!</v>
      </c>
      <c r="K69" s="1063" t="e">
        <f t="shared" si="16"/>
        <v>#VALUE!</v>
      </c>
      <c r="L69" s="1063">
        <v>0</v>
      </c>
      <c r="M69" s="1063" t="e">
        <f t="shared" si="17"/>
        <v>#VALUE!</v>
      </c>
      <c r="N69" s="1063" t="e">
        <f t="shared" si="17"/>
        <v>#VALUE!</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9">SUMIF($J$71:$N$71,C72,J72:N72)</f>
        <v>0</v>
      </c>
      <c r="E72" s="743">
        <f>ROUND(SUM(D72:D80),4)</f>
        <v>0</v>
      </c>
      <c r="F72" s="1813" t="str">
        <f>IF(E2="住宅",SUMIF(L1:L12,G2,N1:N12),"——")</f>
        <v>——</v>
      </c>
      <c r="G72" s="1062"/>
      <c r="H72" s="1065" t="str">
        <f t="shared" ref="H72:H80" si="20">IFERROR(ROUNDDOWN($F$72*I72/2,4),"——")</f>
        <v>——</v>
      </c>
      <c r="I72" s="3363">
        <v>0.2</v>
      </c>
      <c r="J72" s="1063">
        <f t="shared" ref="J72:J80" si="21">K72+$G72</f>
        <v>0</v>
      </c>
      <c r="K72" s="1063">
        <f t="shared" ref="K72:K80" si="22">$L72+$G72</f>
        <v>0</v>
      </c>
      <c r="L72" s="1063">
        <v>0</v>
      </c>
      <c r="M72" s="1063">
        <f t="shared" ref="M72:N80" si="23">L72-$G72</f>
        <v>0</v>
      </c>
      <c r="N72" s="1063">
        <f t="shared" si="23"/>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9"/>
        <v>0</v>
      </c>
      <c r="E73" s="746"/>
      <c r="F73" s="1813"/>
      <c r="G73" s="1062"/>
      <c r="H73" s="1065" t="str">
        <f t="shared" si="20"/>
        <v>——</v>
      </c>
      <c r="I73" s="3363">
        <v>0.26</v>
      </c>
      <c r="J73" s="1063">
        <f t="shared" si="21"/>
        <v>0</v>
      </c>
      <c r="K73" s="1063">
        <f t="shared" si="22"/>
        <v>0</v>
      </c>
      <c r="L73" s="1063">
        <v>0</v>
      </c>
      <c r="M73" s="1063">
        <f t="shared" si="23"/>
        <v>0</v>
      </c>
      <c r="N73" s="1063">
        <f t="shared" si="23"/>
        <v>0</v>
      </c>
      <c r="AA73" s="1119"/>
      <c r="AB73" s="1119"/>
      <c r="AC73" s="1119"/>
      <c r="AD73" s="1119"/>
      <c r="AE73" s="1119"/>
      <c r="AF73" s="1119"/>
      <c r="AG73" s="1119"/>
      <c r="AH73" s="1119"/>
      <c r="AI73" s="1119"/>
      <c r="AJ73" s="1119"/>
      <c r="AK73" s="1119"/>
    </row>
    <row r="74" spans="1:37" s="1996" customFormat="1" ht="36">
      <c r="A74" s="3365" t="s">
        <v>3271</v>
      </c>
      <c r="B74" s="2133">
        <f>估价对象房地状况!C19</f>
        <v>0</v>
      </c>
      <c r="C74" s="2043"/>
      <c r="D74" s="1064">
        <f t="shared" si="19"/>
        <v>0</v>
      </c>
      <c r="E74" s="746"/>
      <c r="F74" s="1813"/>
      <c r="G74" s="1062"/>
      <c r="H74" s="1065" t="str">
        <f t="shared" si="20"/>
        <v>——</v>
      </c>
      <c r="I74" s="3363">
        <v>0.1</v>
      </c>
      <c r="J74" s="1063">
        <f t="shared" si="21"/>
        <v>0</v>
      </c>
      <c r="K74" s="1063">
        <f t="shared" si="22"/>
        <v>0</v>
      </c>
      <c r="L74" s="1063">
        <v>0</v>
      </c>
      <c r="M74" s="1063">
        <f t="shared" si="23"/>
        <v>0</v>
      </c>
      <c r="N74" s="1063">
        <f t="shared" si="23"/>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9"/>
        <v>0</v>
      </c>
      <c r="E75" s="746"/>
      <c r="F75" s="1813"/>
      <c r="G75" s="1062"/>
      <c r="H75" s="1065" t="str">
        <f t="shared" si="20"/>
        <v>——</v>
      </c>
      <c r="I75" s="3363">
        <v>0.05</v>
      </c>
      <c r="J75" s="1063">
        <f t="shared" si="21"/>
        <v>0</v>
      </c>
      <c r="K75" s="1063">
        <f t="shared" si="22"/>
        <v>0</v>
      </c>
      <c r="L75" s="1063">
        <v>0</v>
      </c>
      <c r="M75" s="1063">
        <f t="shared" si="23"/>
        <v>0</v>
      </c>
      <c r="N75" s="1063">
        <f t="shared" si="23"/>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9"/>
        <v>0</v>
      </c>
      <c r="E76" s="746"/>
      <c r="F76" s="1813"/>
      <c r="G76" s="1062"/>
      <c r="H76" s="1065" t="str">
        <f t="shared" si="20"/>
        <v>——</v>
      </c>
      <c r="I76" s="3363">
        <v>0.08</v>
      </c>
      <c r="J76" s="1063">
        <f t="shared" si="21"/>
        <v>0</v>
      </c>
      <c r="K76" s="1063">
        <f t="shared" si="22"/>
        <v>0</v>
      </c>
      <c r="L76" s="1063">
        <v>0</v>
      </c>
      <c r="M76" s="1063">
        <f t="shared" si="23"/>
        <v>0</v>
      </c>
      <c r="N76" s="1063">
        <f t="shared" si="23"/>
        <v>0</v>
      </c>
      <c r="O76" s="1118"/>
      <c r="P76" s="1118"/>
      <c r="Z76" s="1997"/>
      <c r="AA76" s="2052"/>
      <c r="AG76" s="1120"/>
      <c r="AK76" s="2052"/>
    </row>
    <row r="77" spans="1:37" ht="25.5">
      <c r="A77" s="2129" t="s">
        <v>2060</v>
      </c>
      <c r="B77" s="1325" t="str">
        <f>估价对象房地状况!C22</f>
        <v>估价对象所在区域基础设施水平</v>
      </c>
      <c r="C77" s="2043"/>
      <c r="D77" s="1064">
        <f t="shared" si="19"/>
        <v>0</v>
      </c>
      <c r="E77" s="746"/>
      <c r="F77" s="1813"/>
      <c r="G77" s="1062"/>
      <c r="H77" s="1065" t="str">
        <f t="shared" si="20"/>
        <v>——</v>
      </c>
      <c r="I77" s="3363">
        <v>0.09</v>
      </c>
      <c r="J77" s="1063">
        <f t="shared" si="21"/>
        <v>0</v>
      </c>
      <c r="K77" s="1063">
        <f t="shared" si="22"/>
        <v>0</v>
      </c>
      <c r="L77" s="1063">
        <v>0</v>
      </c>
      <c r="M77" s="1063">
        <f t="shared" si="23"/>
        <v>0</v>
      </c>
      <c r="N77" s="1063">
        <f t="shared" si="23"/>
        <v>0</v>
      </c>
      <c r="O77" s="1118"/>
      <c r="P77" s="1118"/>
      <c r="Z77" s="1997"/>
      <c r="AA77" s="2052"/>
      <c r="AG77" s="1120"/>
      <c r="AK77" s="2052"/>
    </row>
    <row r="78" spans="1:37" ht="24">
      <c r="A78" s="2129" t="s">
        <v>2057</v>
      </c>
      <c r="B78" s="2135" t="s">
        <v>2058</v>
      </c>
      <c r="C78" s="2043"/>
      <c r="D78" s="1064">
        <f t="shared" si="19"/>
        <v>0</v>
      </c>
      <c r="E78" s="746"/>
      <c r="F78" s="1813"/>
      <c r="G78" s="1062"/>
      <c r="H78" s="1065" t="str">
        <f t="shared" si="20"/>
        <v>——</v>
      </c>
      <c r="I78" s="3363">
        <v>0.05</v>
      </c>
      <c r="J78" s="1063">
        <f t="shared" si="21"/>
        <v>0</v>
      </c>
      <c r="K78" s="1063">
        <f t="shared" si="22"/>
        <v>0</v>
      </c>
      <c r="L78" s="1063">
        <v>0</v>
      </c>
      <c r="M78" s="1063">
        <f t="shared" si="23"/>
        <v>0</v>
      </c>
      <c r="N78" s="1063">
        <f t="shared" si="23"/>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9"/>
        <v>0</v>
      </c>
      <c r="E79" s="746"/>
      <c r="F79" s="1813"/>
      <c r="G79" s="1062"/>
      <c r="H79" s="1065" t="str">
        <f t="shared" si="20"/>
        <v>——</v>
      </c>
      <c r="I79" s="3363">
        <v>0.12</v>
      </c>
      <c r="J79" s="1063">
        <f t="shared" si="21"/>
        <v>0</v>
      </c>
      <c r="K79" s="1063">
        <f t="shared" si="22"/>
        <v>0</v>
      </c>
      <c r="L79" s="1063">
        <v>0</v>
      </c>
      <c r="M79" s="1063">
        <f t="shared" si="23"/>
        <v>0</v>
      </c>
      <c r="N79" s="1063">
        <f t="shared" si="23"/>
        <v>0</v>
      </c>
      <c r="Z79" s="1997"/>
      <c r="AA79" s="2052"/>
      <c r="AG79" s="1120"/>
      <c r="AK79" s="2052"/>
    </row>
    <row r="80" spans="1:37" ht="24.75" thickBot="1">
      <c r="A80" s="2137" t="s">
        <v>2068</v>
      </c>
      <c r="B80" s="2141"/>
      <c r="C80" s="2043"/>
      <c r="D80" s="1064">
        <f t="shared" si="19"/>
        <v>0</v>
      </c>
      <c r="E80" s="747"/>
      <c r="F80" s="1813"/>
      <c r="G80" s="1062"/>
      <c r="H80" s="1065" t="str">
        <f t="shared" si="20"/>
        <v>——</v>
      </c>
      <c r="I80" s="3364">
        <v>0.05</v>
      </c>
      <c r="J80" s="1063">
        <f t="shared" si="21"/>
        <v>0</v>
      </c>
      <c r="K80" s="1063">
        <f t="shared" si="22"/>
        <v>0</v>
      </c>
      <c r="L80" s="1063">
        <v>0</v>
      </c>
      <c r="M80" s="1063">
        <f t="shared" si="23"/>
        <v>0</v>
      </c>
      <c r="N80" s="1063">
        <f t="shared" si="23"/>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4">SUMIF($J$82:$N$82,C83,J83:N83)</f>
        <v>0</v>
      </c>
      <c r="E83" s="743">
        <f>ROUND(SUM(D83:D90),4)</f>
        <v>0</v>
      </c>
      <c r="F83" s="1813" t="str">
        <f>IF(E2="工业",SUMIF(L1:L12,G2,N1:N12),"——")</f>
        <v>——</v>
      </c>
      <c r="G83" s="1062"/>
      <c r="H83" s="1065" t="str">
        <f t="shared" ref="H83:H90" si="25">IFERROR(ROUNDDOWN($F$83*I83/2,4),"——")</f>
        <v>——</v>
      </c>
      <c r="I83" s="3363">
        <v>0.26</v>
      </c>
      <c r="J83" s="1063">
        <f t="shared" ref="J83:J90" si="26">K83+$G83</f>
        <v>0</v>
      </c>
      <c r="K83" s="1063">
        <f t="shared" ref="K83:K90" si="27">$L83+$G83</f>
        <v>0</v>
      </c>
      <c r="L83" s="1063">
        <v>0</v>
      </c>
      <c r="M83" s="1063">
        <f t="shared" ref="M83:N90" si="28">L83-$G83</f>
        <v>0</v>
      </c>
      <c r="N83" s="1063">
        <f t="shared" si="28"/>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4"/>
        <v>0</v>
      </c>
      <c r="E84" s="746"/>
      <c r="F84" s="1813"/>
      <c r="G84" s="1062"/>
      <c r="H84" s="1065" t="str">
        <f t="shared" si="25"/>
        <v>——</v>
      </c>
      <c r="I84" s="3363">
        <v>0.3</v>
      </c>
      <c r="J84" s="1063">
        <f t="shared" si="26"/>
        <v>0</v>
      </c>
      <c r="K84" s="1063">
        <f t="shared" si="27"/>
        <v>0</v>
      </c>
      <c r="L84" s="1063">
        <v>0</v>
      </c>
      <c r="M84" s="1063">
        <f t="shared" si="28"/>
        <v>0</v>
      </c>
      <c r="N84" s="1063">
        <f t="shared" si="28"/>
        <v>0</v>
      </c>
      <c r="Z84" s="1997"/>
      <c r="AA84" s="2052"/>
      <c r="AG84" s="1120"/>
      <c r="AK84" s="2052"/>
    </row>
    <row r="85" spans="1:37" ht="36">
      <c r="A85" s="3365" t="s">
        <v>3272</v>
      </c>
      <c r="B85" s="2133">
        <f>估价对象房地状况!G17</f>
        <v>0</v>
      </c>
      <c r="C85" s="2043"/>
      <c r="D85" s="1064">
        <f t="shared" si="24"/>
        <v>0</v>
      </c>
      <c r="E85" s="746"/>
      <c r="F85" s="1813"/>
      <c r="G85" s="1062"/>
      <c r="H85" s="1065" t="str">
        <f t="shared" si="25"/>
        <v>——</v>
      </c>
      <c r="I85" s="3363">
        <v>0.1</v>
      </c>
      <c r="J85" s="1063">
        <f t="shared" si="26"/>
        <v>0</v>
      </c>
      <c r="K85" s="1063">
        <f t="shared" si="27"/>
        <v>0</v>
      </c>
      <c r="L85" s="1063">
        <v>0</v>
      </c>
      <c r="M85" s="1063">
        <f t="shared" si="28"/>
        <v>0</v>
      </c>
      <c r="N85" s="1063">
        <f t="shared" si="28"/>
        <v>0</v>
      </c>
      <c r="Z85" s="1997"/>
      <c r="AA85" s="2052"/>
      <c r="AG85" s="1120"/>
      <c r="AK85" s="2052"/>
    </row>
    <row r="86" spans="1:37" ht="14.25">
      <c r="A86" s="2129" t="s">
        <v>2067</v>
      </c>
      <c r="B86" s="2133">
        <f>估价对象房地状况!G22</f>
        <v>0</v>
      </c>
      <c r="C86" s="2043"/>
      <c r="D86" s="1064">
        <f t="shared" si="24"/>
        <v>0</v>
      </c>
      <c r="E86" s="746"/>
      <c r="F86" s="1813"/>
      <c r="G86" s="1062"/>
      <c r="H86" s="1065" t="str">
        <f t="shared" si="25"/>
        <v>——</v>
      </c>
      <c r="I86" s="3363">
        <v>0.05</v>
      </c>
      <c r="J86" s="1063">
        <f t="shared" si="26"/>
        <v>0</v>
      </c>
      <c r="K86" s="1063">
        <f t="shared" si="27"/>
        <v>0</v>
      </c>
      <c r="L86" s="1063">
        <v>0</v>
      </c>
      <c r="M86" s="1063">
        <f t="shared" si="28"/>
        <v>0</v>
      </c>
      <c r="N86" s="1063">
        <f t="shared" si="28"/>
        <v>0</v>
      </c>
      <c r="Z86" s="1997"/>
      <c r="AA86" s="2052"/>
      <c r="AG86" s="1120"/>
      <c r="AK86" s="2052"/>
    </row>
    <row r="87" spans="1:37" ht="25.5">
      <c r="A87" s="2129" t="s">
        <v>2059</v>
      </c>
      <c r="B87" s="1325" t="str">
        <f>估价对象房地状况!G19</f>
        <v>估价对象所在区域公共配套设施齐备情况</v>
      </c>
      <c r="C87" s="2043"/>
      <c r="D87" s="1064">
        <f t="shared" si="24"/>
        <v>0</v>
      </c>
      <c r="E87" s="746"/>
      <c r="F87" s="1813"/>
      <c r="G87" s="1062"/>
      <c r="H87" s="1065" t="str">
        <f t="shared" si="25"/>
        <v>——</v>
      </c>
      <c r="I87" s="3363">
        <v>0.06</v>
      </c>
      <c r="J87" s="1063">
        <f t="shared" si="26"/>
        <v>0</v>
      </c>
      <c r="K87" s="1063">
        <f t="shared" si="27"/>
        <v>0</v>
      </c>
      <c r="L87" s="1063">
        <v>0</v>
      </c>
      <c r="M87" s="1063">
        <f t="shared" si="28"/>
        <v>0</v>
      </c>
      <c r="N87" s="1063">
        <f t="shared" si="28"/>
        <v>0</v>
      </c>
    </row>
    <row r="88" spans="1:37" ht="25.5">
      <c r="A88" s="2129" t="s">
        <v>2060</v>
      </c>
      <c r="B88" s="1325" t="str">
        <f>估价对象房地状况!G20</f>
        <v>估价对象所在区域基础设施水平</v>
      </c>
      <c r="C88" s="2043"/>
      <c r="D88" s="1064">
        <f t="shared" si="24"/>
        <v>0</v>
      </c>
      <c r="E88" s="746"/>
      <c r="F88" s="1813"/>
      <c r="G88" s="1062"/>
      <c r="H88" s="1065" t="str">
        <f t="shared" si="25"/>
        <v>——</v>
      </c>
      <c r="I88" s="3363">
        <v>0.12</v>
      </c>
      <c r="J88" s="1063">
        <f t="shared" si="26"/>
        <v>0</v>
      </c>
      <c r="K88" s="1063">
        <f t="shared" si="27"/>
        <v>0</v>
      </c>
      <c r="L88" s="1063">
        <v>0</v>
      </c>
      <c r="M88" s="1063">
        <f t="shared" si="28"/>
        <v>0</v>
      </c>
      <c r="N88" s="1063">
        <f t="shared" si="28"/>
        <v>0</v>
      </c>
    </row>
    <row r="89" spans="1:37" ht="24">
      <c r="A89" s="2129" t="s">
        <v>2057</v>
      </c>
      <c r="B89" s="2135" t="s">
        <v>2071</v>
      </c>
      <c r="C89" s="2043"/>
      <c r="D89" s="1064">
        <f t="shared" si="24"/>
        <v>0</v>
      </c>
      <c r="E89" s="746"/>
      <c r="F89" s="1813"/>
      <c r="G89" s="1062"/>
      <c r="H89" s="1065" t="str">
        <f t="shared" si="25"/>
        <v>——</v>
      </c>
      <c r="I89" s="3363">
        <v>0.06</v>
      </c>
      <c r="J89" s="1063">
        <f t="shared" si="26"/>
        <v>0</v>
      </c>
      <c r="K89" s="1063">
        <f t="shared" si="27"/>
        <v>0</v>
      </c>
      <c r="L89" s="1063">
        <v>0</v>
      </c>
      <c r="M89" s="1063">
        <f t="shared" si="28"/>
        <v>0</v>
      </c>
      <c r="N89" s="1063">
        <f t="shared" si="28"/>
        <v>0</v>
      </c>
    </row>
    <row r="90" spans="1:37" ht="39" thickBot="1">
      <c r="A90" s="2137" t="s">
        <v>2072</v>
      </c>
      <c r="B90" s="2142" t="str">
        <f>估价对象房地状况!G18</f>
        <v>该园区内是否有污染型企业，绿化情况，卫生条件，整体环境状况判断</v>
      </c>
      <c r="C90" s="2043"/>
      <c r="D90" s="1064">
        <f t="shared" si="24"/>
        <v>0</v>
      </c>
      <c r="E90" s="747"/>
      <c r="F90" s="1813"/>
      <c r="G90" s="1062"/>
      <c r="H90" s="1065" t="str">
        <f t="shared" si="25"/>
        <v>——</v>
      </c>
      <c r="I90" s="3364">
        <v>0.05</v>
      </c>
      <c r="J90" s="1063">
        <f t="shared" si="26"/>
        <v>0</v>
      </c>
      <c r="K90" s="1063">
        <f t="shared" si="27"/>
        <v>0</v>
      </c>
      <c r="L90" s="1063">
        <v>0</v>
      </c>
      <c r="M90" s="1063">
        <f t="shared" si="28"/>
        <v>0</v>
      </c>
      <c r="N90" s="1063">
        <f t="shared" si="28"/>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3275</v>
      </c>
      <c r="B94" s="3366" t="str">
        <f>估价对象房地状况!C18</f>
        <v>估价对象周边道路状况、公共交通通达情况、停车便捷程度，综合评价交通便捷度较好</v>
      </c>
      <c r="C94" s="2043"/>
      <c r="D94" s="3362">
        <f t="shared" ref="D94:D101" si="32">SUMIF($J$60:$N$60,C94,J94:N94)</f>
        <v>0</v>
      </c>
      <c r="E94" s="3379"/>
      <c r="F94" s="1813"/>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3271</v>
      </c>
      <c r="B95" s="3366">
        <f>估价对象房地状况!C19</f>
        <v>0</v>
      </c>
      <c r="C95" s="2043"/>
      <c r="D95" s="3362">
        <f t="shared" si="32"/>
        <v>0</v>
      </c>
      <c r="E95" s="3379"/>
      <c r="F95" s="1813"/>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3276</v>
      </c>
      <c r="B96" s="3381" t="s">
        <v>3287</v>
      </c>
      <c r="C96" s="2043"/>
      <c r="D96" s="3362">
        <f t="shared" si="32"/>
        <v>0</v>
      </c>
      <c r="E96" s="3379"/>
      <c r="F96" s="1813"/>
      <c r="G96" s="3369"/>
      <c r="H96" s="3417" t="str">
        <f t="shared" si="33"/>
        <v>——</v>
      </c>
      <c r="I96" s="3363">
        <v>0.05</v>
      </c>
      <c r="J96" s="3341">
        <f t="shared" si="29"/>
        <v>0</v>
      </c>
      <c r="K96" s="3341">
        <f t="shared" si="30"/>
        <v>0</v>
      </c>
      <c r="L96" s="3341">
        <v>0</v>
      </c>
      <c r="M96" s="3341">
        <f t="shared" si="31"/>
        <v>0</v>
      </c>
      <c r="N96" s="3341">
        <f t="shared" si="31"/>
        <v>0</v>
      </c>
    </row>
    <row r="97" spans="1:14" ht="24">
      <c r="A97" s="3375" t="s">
        <v>3277</v>
      </c>
      <c r="B97" s="3366">
        <f>估价对象房地状况!C24</f>
        <v>0</v>
      </c>
      <c r="C97" s="2043"/>
      <c r="D97" s="3362">
        <f t="shared" si="32"/>
        <v>0</v>
      </c>
      <c r="E97" s="3379"/>
      <c r="F97" s="1813"/>
      <c r="G97" s="3369"/>
      <c r="H97" s="3417" t="str">
        <f t="shared" si="33"/>
        <v>——</v>
      </c>
      <c r="I97" s="3363">
        <v>0.05</v>
      </c>
      <c r="J97" s="3341">
        <f t="shared" si="29"/>
        <v>0</v>
      </c>
      <c r="K97" s="3341">
        <f t="shared" si="30"/>
        <v>0</v>
      </c>
      <c r="L97" s="3341">
        <v>0</v>
      </c>
      <c r="M97" s="3341">
        <f t="shared" si="31"/>
        <v>0</v>
      </c>
      <c r="N97" s="3341">
        <f t="shared" si="31"/>
        <v>0</v>
      </c>
    </row>
    <row r="98" spans="1:14" ht="24">
      <c r="A98" s="3375" t="s">
        <v>3278</v>
      </c>
      <c r="B98" s="3382" t="s">
        <v>3288</v>
      </c>
      <c r="C98" s="2043"/>
      <c r="D98" s="3362">
        <f t="shared" si="32"/>
        <v>0</v>
      </c>
      <c r="E98" s="3379"/>
      <c r="F98" s="1813"/>
      <c r="G98" s="3369"/>
      <c r="H98" s="3417" t="str">
        <f t="shared" si="33"/>
        <v>——</v>
      </c>
      <c r="I98" s="3363">
        <v>0.06</v>
      </c>
      <c r="J98" s="3341">
        <f t="shared" si="29"/>
        <v>0</v>
      </c>
      <c r="K98" s="3341">
        <f t="shared" si="30"/>
        <v>0</v>
      </c>
      <c r="L98" s="3341">
        <v>0</v>
      </c>
      <c r="M98" s="3341">
        <f t="shared" si="31"/>
        <v>0</v>
      </c>
      <c r="N98" s="3341">
        <f t="shared" si="31"/>
        <v>0</v>
      </c>
    </row>
    <row r="99" spans="1:14" ht="25.5">
      <c r="A99" s="3375" t="s">
        <v>3279</v>
      </c>
      <c r="B99" s="3366" t="str">
        <f>估价对象房地状况!C21</f>
        <v>估价对象所在区域公共配套设施齐备情况</v>
      </c>
      <c r="C99" s="2043"/>
      <c r="D99" s="3362">
        <f t="shared" si="32"/>
        <v>0</v>
      </c>
      <c r="E99" s="3379"/>
      <c r="F99" s="1813"/>
      <c r="G99" s="3369"/>
      <c r="H99" s="3417" t="str">
        <f t="shared" si="33"/>
        <v>——</v>
      </c>
      <c r="I99" s="3363">
        <v>0.06</v>
      </c>
      <c r="J99" s="3341">
        <f t="shared" si="29"/>
        <v>0</v>
      </c>
      <c r="K99" s="3341">
        <f t="shared" si="30"/>
        <v>0</v>
      </c>
      <c r="L99" s="3341">
        <v>0</v>
      </c>
      <c r="M99" s="3341">
        <f t="shared" si="31"/>
        <v>0</v>
      </c>
      <c r="N99" s="3341">
        <f t="shared" si="31"/>
        <v>0</v>
      </c>
    </row>
    <row r="100" spans="1:14" ht="25.5">
      <c r="A100" s="3375" t="s">
        <v>3280</v>
      </c>
      <c r="B100" s="3366" t="str">
        <f>估价对象房地状况!C22</f>
        <v>估价对象所在区域基础设施水平</v>
      </c>
      <c r="C100" s="2043"/>
      <c r="D100" s="3362">
        <f t="shared" si="32"/>
        <v>0</v>
      </c>
      <c r="E100" s="3379"/>
      <c r="F100" s="1813"/>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3281</v>
      </c>
      <c r="B101" s="3383" t="str">
        <f>估价对象房地状况!C20</f>
        <v>区域自然环境：；人文环境；综合评价环境状况一般</v>
      </c>
      <c r="C101" s="2043"/>
      <c r="D101" s="3362">
        <f t="shared" si="32"/>
        <v>0</v>
      </c>
      <c r="E101" s="3380"/>
      <c r="F101" s="1813"/>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756" t="s">
        <v>3296</v>
      </c>
      <c r="B103" s="3756"/>
      <c r="C103" s="3756"/>
      <c r="D103" s="3756"/>
      <c r="E103" s="3756"/>
      <c r="F103" s="3756"/>
      <c r="G103" s="3756"/>
      <c r="H103" s="3756"/>
      <c r="I103" s="3756"/>
      <c r="J103" s="3756"/>
      <c r="K103" s="3386"/>
      <c r="L103" s="3386"/>
      <c r="M103" s="3386"/>
      <c r="N103" s="3386"/>
    </row>
    <row r="104" spans="1:14">
      <c r="A104" s="3757" t="s">
        <v>3297</v>
      </c>
      <c r="B104" s="3757" t="s">
        <v>3298</v>
      </c>
      <c r="C104" s="3387" t="s">
        <v>3299</v>
      </c>
      <c r="D104" s="3388"/>
      <c r="E104" s="3388"/>
      <c r="F104" s="3388"/>
      <c r="G104" s="3388"/>
      <c r="H104" s="3388"/>
      <c r="I104" s="3388"/>
      <c r="J104" s="3389"/>
      <c r="K104" s="3390"/>
      <c r="L104" s="3390"/>
      <c r="M104" s="3390"/>
      <c r="N104" s="3390"/>
    </row>
    <row r="105" spans="1:14">
      <c r="A105" s="3757"/>
      <c r="B105" s="3757"/>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43"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4"/>
      <c r="B111" s="3391" t="s">
        <v>3270</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45"/>
      <c r="B112" s="339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46" t="s">
        <v>3313</v>
      </c>
      <c r="B113" s="3746"/>
      <c r="C113" s="3746"/>
      <c r="D113" s="3746"/>
      <c r="E113" s="3746"/>
      <c r="F113" s="3746"/>
      <c r="G113" s="3746"/>
      <c r="H113" s="3746"/>
      <c r="I113" s="3746"/>
      <c r="J113" s="374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v>
      </c>
      <c r="C116" s="3396" t="s">
        <v>3315</v>
      </c>
      <c r="D116" s="3397">
        <f>SUMPRODUCT((A118:A122=F116)*(B117:M117=H116)*B118:M122)</f>
        <v>0.81259999999999999</v>
      </c>
      <c r="E116" s="1999" t="s">
        <v>3316</v>
      </c>
      <c r="F116" s="3398" t="str">
        <f>E2</f>
        <v>商业</v>
      </c>
      <c r="G116" s="1999" t="s">
        <v>3317</v>
      </c>
      <c r="H116" s="3398" t="str">
        <f>G2</f>
        <v>九级</v>
      </c>
      <c r="I116" s="1999"/>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0.9748</v>
      </c>
      <c r="C118" s="3384">
        <f>B118</f>
        <v>0.9748</v>
      </c>
      <c r="D118" s="3384">
        <f>ROUND(0.949-0.014*B116,4)</f>
        <v>0.92100000000000004</v>
      </c>
      <c r="E118" s="3384">
        <f>D118</f>
        <v>0.92100000000000004</v>
      </c>
      <c r="F118" s="3384">
        <f>E118</f>
        <v>0.92100000000000004</v>
      </c>
      <c r="G118" s="3384">
        <f>F118</f>
        <v>0.92100000000000004</v>
      </c>
      <c r="H118" s="3384">
        <f>G118</f>
        <v>0.92100000000000004</v>
      </c>
      <c r="I118" s="3384">
        <f>ROUND(0.8486-0.018*B116,4)</f>
        <v>0.81259999999999999</v>
      </c>
      <c r="J118" s="3384">
        <f t="shared" ref="J118:M122" si="37">I118</f>
        <v>0.81259999999999999</v>
      </c>
      <c r="K118" s="3384">
        <f t="shared" si="37"/>
        <v>0.81259999999999999</v>
      </c>
      <c r="L118" s="3384">
        <f t="shared" si="37"/>
        <v>0.81259999999999999</v>
      </c>
      <c r="M118" s="3407">
        <f t="shared" si="37"/>
        <v>0.81259999999999999</v>
      </c>
      <c r="N118" s="3394"/>
    </row>
    <row r="119" spans="1:14">
      <c r="A119" s="3406" t="s">
        <v>3331</v>
      </c>
      <c r="B119" s="3384">
        <f>ROUND(0.993-0.0112*B116,4)</f>
        <v>0.97060000000000002</v>
      </c>
      <c r="C119" s="3384">
        <f>B119</f>
        <v>0.97060000000000002</v>
      </c>
      <c r="D119" s="3384">
        <f>ROUND(0.9415-0.0142*B116,4)</f>
        <v>0.91310000000000002</v>
      </c>
      <c r="E119" s="3384">
        <f t="shared" ref="E119:H120" si="38">D119</f>
        <v>0.91310000000000002</v>
      </c>
      <c r="F119" s="3384">
        <f t="shared" si="38"/>
        <v>0.91310000000000002</v>
      </c>
      <c r="G119" s="3384">
        <f t="shared" si="38"/>
        <v>0.91310000000000002</v>
      </c>
      <c r="H119" s="3384">
        <f t="shared" si="38"/>
        <v>0.91310000000000002</v>
      </c>
      <c r="I119" s="3384">
        <f>ROUND(0.838-0.0182*B116,4)</f>
        <v>0.80159999999999998</v>
      </c>
      <c r="J119" s="3384">
        <f t="shared" si="37"/>
        <v>0.80159999999999998</v>
      </c>
      <c r="K119" s="3384">
        <f t="shared" si="37"/>
        <v>0.80159999999999998</v>
      </c>
      <c r="L119" s="3384">
        <f t="shared" si="37"/>
        <v>0.80159999999999998</v>
      </c>
      <c r="M119" s="3407">
        <f t="shared" si="37"/>
        <v>0.80159999999999998</v>
      </c>
      <c r="N119" s="3394"/>
    </row>
    <row r="120" spans="1:14">
      <c r="A120" s="3406" t="s">
        <v>3332</v>
      </c>
      <c r="B120" s="3384">
        <f>ROUND(0.9448-0.0115*B116,4)</f>
        <v>0.92179999999999995</v>
      </c>
      <c r="C120" s="3384">
        <f>B120</f>
        <v>0.92179999999999995</v>
      </c>
      <c r="D120" s="3384">
        <f>ROUND(0.937-0.0145*B116,4)</f>
        <v>0.90800000000000003</v>
      </c>
      <c r="E120" s="3384">
        <f t="shared" si="38"/>
        <v>0.90800000000000003</v>
      </c>
      <c r="F120" s="3384">
        <f t="shared" si="38"/>
        <v>0.90800000000000003</v>
      </c>
      <c r="G120" s="3384">
        <f t="shared" si="38"/>
        <v>0.90800000000000003</v>
      </c>
      <c r="H120" s="3384">
        <f t="shared" si="38"/>
        <v>0.90800000000000003</v>
      </c>
      <c r="I120" s="3384">
        <f>ROUND(0.7965-0.0185*B116,4)</f>
        <v>0.75949999999999995</v>
      </c>
      <c r="J120" s="3384">
        <f t="shared" si="37"/>
        <v>0.75949999999999995</v>
      </c>
      <c r="K120" s="3384">
        <f t="shared" si="37"/>
        <v>0.75949999999999995</v>
      </c>
      <c r="L120" s="3384">
        <f t="shared" si="37"/>
        <v>0.75949999999999995</v>
      </c>
      <c r="M120" s="3407">
        <f t="shared" si="37"/>
        <v>0.75949999999999995</v>
      </c>
      <c r="N120" s="3394"/>
    </row>
    <row r="121" spans="1:14" ht="13.5" thickBot="1">
      <c r="A121" s="3408" t="s">
        <v>3333</v>
      </c>
      <c r="B121" s="3409">
        <f>ROUND(0.7836-0.012*B116,4)</f>
        <v>0.75960000000000005</v>
      </c>
      <c r="C121" s="3409">
        <f>B121</f>
        <v>0.75960000000000005</v>
      </c>
      <c r="D121" s="3409">
        <f>ROUND(0.753-0.015*B116,4)</f>
        <v>0.72299999999999998</v>
      </c>
      <c r="E121" s="3409">
        <f>D121</f>
        <v>0.72299999999999998</v>
      </c>
      <c r="F121" s="3409">
        <f>E121</f>
        <v>0.72299999999999998</v>
      </c>
      <c r="G121" s="3409">
        <f>ROUND(0.6612-0.018*B116,4)</f>
        <v>0.62519999999999998</v>
      </c>
      <c r="H121" s="3409">
        <f>G121</f>
        <v>0.62519999999999998</v>
      </c>
      <c r="I121" s="3409">
        <f>ROUND(0.5905-0.019*B116,4)</f>
        <v>0.55249999999999999</v>
      </c>
      <c r="J121" s="3409">
        <f t="shared" si="37"/>
        <v>0.55249999999999999</v>
      </c>
      <c r="K121" s="3409">
        <f t="shared" si="37"/>
        <v>0.55249999999999999</v>
      </c>
      <c r="L121" s="3409">
        <f t="shared" si="37"/>
        <v>0.55249999999999999</v>
      </c>
      <c r="M121" s="3410">
        <f t="shared" si="37"/>
        <v>0.55249999999999999</v>
      </c>
      <c r="N121" s="3394"/>
    </row>
    <row r="122" spans="1:14">
      <c r="A122" s="3411" t="s">
        <v>2615</v>
      </c>
      <c r="B122" s="3384">
        <f>ROUND(0.9404-0.0106*B116,4)</f>
        <v>0.91920000000000002</v>
      </c>
      <c r="C122" s="3384">
        <f>B122</f>
        <v>0.91920000000000002</v>
      </c>
      <c r="D122" s="3384">
        <f>ROUND(0.8955-0.0135*B116,4)</f>
        <v>0.86850000000000005</v>
      </c>
      <c r="E122" s="3384">
        <f t="shared" ref="E122:H122" si="39">D122</f>
        <v>0.86850000000000005</v>
      </c>
      <c r="F122" s="3384">
        <f t="shared" si="39"/>
        <v>0.86850000000000005</v>
      </c>
      <c r="G122" s="3384">
        <f t="shared" si="39"/>
        <v>0.86850000000000005</v>
      </c>
      <c r="H122" s="3384">
        <f t="shared" si="39"/>
        <v>0.86850000000000005</v>
      </c>
      <c r="I122" s="3384">
        <f>ROUND(0.7632-0.0166*B116,4)</f>
        <v>0.73</v>
      </c>
      <c r="J122" s="3384">
        <f t="shared" si="37"/>
        <v>0.73</v>
      </c>
      <c r="K122" s="3384">
        <f t="shared" si="37"/>
        <v>0.73</v>
      </c>
      <c r="L122" s="3384">
        <f t="shared" si="37"/>
        <v>0.73</v>
      </c>
      <c r="M122" s="3407">
        <f t="shared" si="37"/>
        <v>0.73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3525</v>
      </c>
      <c r="D1" s="1361" t="s">
        <v>43</v>
      </c>
      <c r="E1" s="1362" t="s">
        <v>678</v>
      </c>
      <c r="F1" s="1061">
        <f ca="1">J53</f>
        <v>19</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143.8646</v>
      </c>
      <c r="C2" s="1386" t="s">
        <v>879</v>
      </c>
      <c r="D2" s="1470">
        <f ca="1">C40+J29+L46</f>
        <v>1438646</v>
      </c>
      <c r="E2" s="1387" t="s">
        <v>880</v>
      </c>
      <c r="F2" s="1388"/>
      <c r="G2" s="2703"/>
      <c r="H2" s="2692"/>
      <c r="I2" s="2692"/>
      <c r="J2" s="2692"/>
      <c r="K2" s="2693"/>
      <c r="L2" s="2692"/>
      <c r="M2" s="2692"/>
    </row>
    <row r="3" spans="1:37" ht="18" customHeight="1" thickBot="1">
      <c r="A3" s="1389" t="s">
        <v>881</v>
      </c>
      <c r="B3" s="1390">
        <f ca="1">IF(ISERROR(D2/F43),0,ROUND(D2/F43,0))</f>
        <v>8258</v>
      </c>
      <c r="C3" s="1386" t="s">
        <v>882</v>
      </c>
      <c r="D3" s="1386"/>
      <c r="E3" s="1387"/>
      <c r="F3" s="1388"/>
      <c r="G3" s="2703"/>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126059</v>
      </c>
      <c r="D5" s="1363" t="s">
        <v>889</v>
      </c>
      <c r="E5" s="1070"/>
      <c r="F5" s="1071"/>
      <c r="G5" s="1383"/>
      <c r="H5" s="298">
        <v>1</v>
      </c>
      <c r="I5" s="299" t="s">
        <v>888</v>
      </c>
      <c r="J5" s="1069">
        <f ca="1">J6+J10+J12</f>
        <v>0</v>
      </c>
      <c r="K5" s="1363" t="s">
        <v>889</v>
      </c>
      <c r="L5" s="1070"/>
      <c r="M5" s="1071"/>
    </row>
    <row r="6" spans="1:37" ht="18" customHeight="1">
      <c r="A6" s="1068" t="s">
        <v>398</v>
      </c>
      <c r="B6" s="3762" t="s">
        <v>694</v>
      </c>
      <c r="C6" s="1073">
        <f ca="1">ROUND(F6*F8*F7*(1-F9),0)</f>
        <v>125902</v>
      </c>
      <c r="D6" s="154" t="s">
        <v>2106</v>
      </c>
      <c r="E6" s="301" t="s">
        <v>696</v>
      </c>
      <c r="F6" s="302">
        <f ca="1">INDIRECT("'数据-取费表'!u"&amp;$G$1)</f>
        <v>2.2000000000000002</v>
      </c>
      <c r="G6" s="1383"/>
      <c r="H6" s="1068" t="s">
        <v>398</v>
      </c>
      <c r="I6" s="3762" t="s">
        <v>694</v>
      </c>
      <c r="J6" s="300">
        <f ca="1">ROUND(M6*M8*M7*(1-M9),0)</f>
        <v>0</v>
      </c>
      <c r="K6" s="1375" t="s">
        <v>2107</v>
      </c>
      <c r="L6" s="301" t="s">
        <v>696</v>
      </c>
      <c r="M6" s="302">
        <f ca="1">INDIRECT("'数据-取费表'!z"&amp;$G$1)</f>
        <v>0</v>
      </c>
    </row>
    <row r="7" spans="1:37" ht="18" customHeight="1">
      <c r="A7" s="1072"/>
      <c r="B7" s="3763"/>
      <c r="C7" s="1074"/>
      <c r="D7" s="306"/>
      <c r="E7" s="1075" t="s">
        <v>697</v>
      </c>
      <c r="F7" s="302">
        <f ca="1">IF(INDIRECT("'数据-取费表'!ah"&amp;$G$1)="",INDIRECT("'数据-取费表'!k"&amp;$G$1),INDIRECT("'数据-取费表'!ah"&amp;$G$1))</f>
        <v>174.21</v>
      </c>
      <c r="G7" s="1383"/>
      <c r="H7" s="303"/>
      <c r="I7" s="3763"/>
      <c r="J7" s="305"/>
      <c r="K7" s="306"/>
      <c r="L7" s="301" t="s">
        <v>697</v>
      </c>
      <c r="M7" s="302">
        <f ca="1">F7</f>
        <v>174.21</v>
      </c>
    </row>
    <row r="8" spans="1:37" ht="18" customHeight="1">
      <c r="A8" s="303"/>
      <c r="B8" s="3763"/>
      <c r="C8" s="305"/>
      <c r="D8" s="306"/>
      <c r="E8" s="301" t="s">
        <v>698</v>
      </c>
      <c r="F8" s="302">
        <f ca="1">INDIRECT("'数据-取费表'!ai"&amp;$G$1)</f>
        <v>365</v>
      </c>
      <c r="G8" s="1383"/>
      <c r="H8" s="303"/>
      <c r="I8" s="3763"/>
      <c r="J8" s="305"/>
      <c r="K8" s="306"/>
      <c r="L8" s="301" t="s">
        <v>698</v>
      </c>
      <c r="M8" s="302">
        <f ca="1">INDIRECT("'数据-取费表'!ai"&amp;$G$1)</f>
        <v>365</v>
      </c>
    </row>
    <row r="9" spans="1:37" ht="18" customHeight="1">
      <c r="A9" s="303"/>
      <c r="B9" s="3764"/>
      <c r="C9" s="305"/>
      <c r="D9" s="306"/>
      <c r="E9" s="301" t="s">
        <v>699</v>
      </c>
      <c r="F9" s="311">
        <f ca="1">INDIRECT("'数据-取费表'!w"&amp;$G$1)</f>
        <v>0.1</v>
      </c>
      <c r="G9" s="1383"/>
      <c r="H9" s="303"/>
      <c r="I9" s="3764"/>
      <c r="J9" s="305"/>
      <c r="K9" s="306"/>
      <c r="L9" s="312" t="s">
        <v>699</v>
      </c>
      <c r="M9" s="313">
        <f ca="1">INDIRECT("'数据-取费表'!ab"&amp;$G$1)</f>
        <v>0</v>
      </c>
    </row>
    <row r="10" spans="1:37" ht="18" customHeight="1">
      <c r="A10" s="1068" t="s">
        <v>402</v>
      </c>
      <c r="B10" s="1364" t="s">
        <v>700</v>
      </c>
      <c r="C10" s="315">
        <f ca="1">ROUND(IF(F10="押一",C6/12*F11,IF(F10="押二",C6/12*2*F11,IF(F10="押三",C6/12*3*F11,C11*F11))),0)</f>
        <v>157</v>
      </c>
      <c r="D10" s="1365" t="s">
        <v>2116</v>
      </c>
      <c r="E10" s="312" t="s">
        <v>701</v>
      </c>
      <c r="F10" s="1115" t="s">
        <v>3418</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672138</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609735</v>
      </c>
      <c r="D14" s="1344" t="s">
        <v>708</v>
      </c>
      <c r="E14" s="1341"/>
      <c r="F14" s="318"/>
      <c r="G14" s="1383"/>
      <c r="H14" s="981" t="s">
        <v>398</v>
      </c>
      <c r="I14" s="301" t="s">
        <v>709</v>
      </c>
      <c r="J14" s="21">
        <f ca="1">C29</f>
        <v>933525</v>
      </c>
      <c r="K14" s="12"/>
      <c r="L14" s="806"/>
      <c r="M14" s="807"/>
    </row>
    <row r="15" spans="1:37" s="1396" customFormat="1" ht="18" customHeight="1" thickBot="1">
      <c r="A15" s="981" t="s">
        <v>399</v>
      </c>
      <c r="B15" s="301" t="s">
        <v>710</v>
      </c>
      <c r="C15" s="21">
        <f ca="1">ROUND(C14*F15,0)</f>
        <v>30487</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9335</v>
      </c>
      <c r="K16" s="1086" t="s">
        <v>715</v>
      </c>
      <c r="L16" s="1087"/>
      <c r="M16" s="1071"/>
    </row>
    <row r="17" spans="1:37" s="1396" customFormat="1" ht="18" customHeight="1">
      <c r="A17" s="981" t="s">
        <v>681</v>
      </c>
      <c r="B17" s="301" t="s">
        <v>716</v>
      </c>
      <c r="C17" s="21">
        <f ca="1">ROUND(F17*(F43+INDIRECT("'数据-取费表'!S"&amp;$G$1)),0)</f>
        <v>34842</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9146</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684210</v>
      </c>
      <c r="D19" s="130" t="s">
        <v>726</v>
      </c>
      <c r="E19" s="1359"/>
      <c r="F19" s="23"/>
      <c r="G19" s="1383"/>
      <c r="H19" s="981" t="s">
        <v>399</v>
      </c>
      <c r="I19" s="301" t="s">
        <v>727</v>
      </c>
      <c r="J19" s="21">
        <f ca="1">IF(K19="按租金收入计税",ROUND(J6*M19/(1+'数据-取费表'!C42),0),ROUND(C29*M19*0.7,0))</f>
        <v>0</v>
      </c>
      <c r="K19" s="1369" t="s">
        <v>3337</v>
      </c>
      <c r="L19" s="301" t="s">
        <v>712</v>
      </c>
      <c r="M19" s="321">
        <f>IF(K19="按租金收入计税",'数据-取费表'!B51,'数据-取费表'!B50)</f>
        <v>0.12</v>
      </c>
    </row>
    <row r="20" spans="1:37" s="1396" customFormat="1" ht="18" customHeight="1">
      <c r="A20" s="981" t="s">
        <v>402</v>
      </c>
      <c r="B20" s="301" t="s">
        <v>728</v>
      </c>
      <c r="C20" s="21">
        <f ca="1">ROUND(C19*F20,0)</f>
        <v>13684</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9335</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24077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-9335</v>
      </c>
      <c r="K25" s="1094" t="s">
        <v>753</v>
      </c>
      <c r="L25" s="1095"/>
      <c r="M25" s="1096"/>
    </row>
    <row r="26" spans="1:37" ht="18" customHeight="1">
      <c r="A26" s="981" t="s">
        <v>397</v>
      </c>
      <c r="B26" s="301" t="s">
        <v>754</v>
      </c>
      <c r="C26" s="21">
        <f ca="1">ROUND((C19+C20)*F26,0)</f>
        <v>139579</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933525</v>
      </c>
      <c r="D29" s="1091"/>
      <c r="E29" s="1089"/>
      <c r="F29" s="1092"/>
      <c r="G29" s="1395"/>
      <c r="H29" s="333" t="s">
        <v>396</v>
      </c>
      <c r="I29" s="334" t="s">
        <v>768</v>
      </c>
      <c r="J29" s="335">
        <f ca="1">ROUND(J26/(1+F40)^F41,0)</f>
        <v>0</v>
      </c>
      <c r="K29" s="336" t="s">
        <v>769</v>
      </c>
      <c r="L29" s="337"/>
      <c r="M29" s="338">
        <f ca="1">INDIRECT("'数据-取费表'!k"&amp;$G$1)</f>
        <v>174.21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19661</v>
      </c>
      <c r="D30" s="1086" t="s">
        <v>715</v>
      </c>
      <c r="E30" s="1087"/>
      <c r="F30" s="1071"/>
      <c r="G30" s="1383"/>
      <c r="H30" s="2694"/>
      <c r="I30" s="1397"/>
      <c r="J30" s="1398"/>
      <c r="K30" s="2473"/>
      <c r="L30" s="2695"/>
      <c r="M30" s="2696"/>
    </row>
    <row r="31" spans="1:37" ht="18" customHeight="1">
      <c r="A31" s="981" t="s">
        <v>398</v>
      </c>
      <c r="B31" s="301" t="s">
        <v>719</v>
      </c>
      <c r="C31" s="2315">
        <f ca="1">ROUND(IF(AND(项目基本情况!B11="自然人",项目基本情况!B10="北京市"),C6*F31/(1+'数据-取费表'!C42),C32+C33+C34),0)</f>
        <v>8393</v>
      </c>
      <c r="D31" s="1344" t="s">
        <v>720</v>
      </c>
      <c r="E31" s="1343" t="s">
        <v>770</v>
      </c>
      <c r="F31" s="2314">
        <f ca="1">IF(项目基本情况!B11="企业","——",IF(M47="住宅",IF(F6*F7*F8/12/(1+'数据-取费表'!F30)&gt;100000,4%,2.5%),IF(F6*F7*F8/12/(1+'数据-取费表'!F30)&gt;100000,12%,7%)))</f>
        <v>7.0000000000000007E-2</v>
      </c>
      <c r="G31" s="1383"/>
      <c r="H31" s="2805" t="s">
        <v>2310</v>
      </c>
      <c r="I31" s="1397"/>
      <c r="J31" s="1398"/>
      <c r="K31" s="2473"/>
      <c r="L31" s="2695"/>
      <c r="M31" s="2696"/>
    </row>
    <row r="32" spans="1:37" ht="18" customHeight="1">
      <c r="A32" s="981" t="s">
        <v>397</v>
      </c>
      <c r="B32" s="301" t="s">
        <v>723</v>
      </c>
      <c r="C32" s="21" t="str">
        <f>IF(项目基本情况!B11="自然人","——",ROUND(C6*F32/(1+'数据-取费表'!C42),0))</f>
        <v>——</v>
      </c>
      <c r="D32" s="1343" t="s">
        <v>724</v>
      </c>
      <c r="E32" s="301" t="s">
        <v>712</v>
      </c>
      <c r="F32" s="330">
        <f>'数据-取费表'!B41</f>
        <v>5.5000000000000007E-2</v>
      </c>
      <c r="G32" s="1383"/>
      <c r="H32" s="2694"/>
      <c r="I32" s="1397"/>
      <c r="J32" s="1398"/>
      <c r="K32" s="2473"/>
      <c r="L32" s="2695"/>
      <c r="M32" s="2696"/>
    </row>
    <row r="33" spans="1:18" ht="18" customHeight="1">
      <c r="A33" s="981" t="s">
        <v>399</v>
      </c>
      <c r="B33" s="301" t="s">
        <v>727</v>
      </c>
      <c r="C33" s="21" t="str">
        <f ca="1">IF(项目基本情况!B11="自然人","——",IF(D33="按租金收入计税",ROUND(C6*F33/(1+'数据-取费表'!C42),0),IF(D33="按房产原值计税",ROUND(C29*F33*0.7,0),INDIRECT("'数据-取费表'!Aj"&amp;$G$1))))</f>
        <v>——</v>
      </c>
      <c r="D33" s="1369" t="s">
        <v>3337</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t="str">
        <f>IF(项目基本情况!B11="自然人","——",ROUND(F34*F35,0))</f>
        <v>——</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f ca="1">INDIRECT("'数据-取费表'!r"&amp;$G$1)</f>
        <v>0</v>
      </c>
      <c r="G35" s="1383"/>
      <c r="H35" s="2694"/>
      <c r="I35" s="1397"/>
      <c r="J35" s="1398"/>
      <c r="K35" s="2698"/>
      <c r="L35" s="2697"/>
      <c r="M35" s="2697"/>
    </row>
    <row r="36" spans="1:18" ht="18" customHeight="1">
      <c r="A36" s="1101" t="s">
        <v>402</v>
      </c>
      <c r="B36" s="301" t="s">
        <v>738</v>
      </c>
      <c r="C36" s="21">
        <f ca="1">ROUND(C29*F36,0)</f>
        <v>9335</v>
      </c>
      <c r="D36" s="1343" t="s">
        <v>771</v>
      </c>
      <c r="E36" s="301" t="s">
        <v>712</v>
      </c>
      <c r="F36" s="327">
        <f ca="1">INDIRECT("'数据-取费表'!Ak"&amp;$G$1)</f>
        <v>0.01</v>
      </c>
      <c r="G36" s="1383"/>
      <c r="H36" s="2697"/>
      <c r="I36" s="1397"/>
      <c r="J36" s="1398"/>
      <c r="K36" s="2542"/>
      <c r="L36" s="2697"/>
      <c r="M36" s="2697"/>
    </row>
    <row r="37" spans="1:18" ht="18" customHeight="1">
      <c r="A37" s="981" t="s">
        <v>437</v>
      </c>
      <c r="B37" s="301" t="s">
        <v>742</v>
      </c>
      <c r="C37" s="21">
        <f ca="1">ROUND(C13*F37,0)</f>
        <v>672</v>
      </c>
      <c r="D37" s="1343" t="s">
        <v>743</v>
      </c>
      <c r="E37" s="301" t="s">
        <v>744</v>
      </c>
      <c r="F37" s="329">
        <f ca="1">INDIRECT("'数据-取费表'!Al"&amp;$G$1)</f>
        <v>1E-3</v>
      </c>
      <c r="G37" s="1383"/>
      <c r="H37" s="2697"/>
      <c r="I37" s="1397"/>
      <c r="J37" s="1398"/>
      <c r="K37" s="2542"/>
      <c r="L37" s="2697"/>
      <c r="M37" s="2697"/>
    </row>
    <row r="38" spans="1:18" ht="18" customHeight="1" thickBot="1">
      <c r="A38" s="1088" t="s">
        <v>684</v>
      </c>
      <c r="B38" s="1089" t="s">
        <v>728</v>
      </c>
      <c r="C38" s="1090">
        <f ca="1">ROUND(C5*F38,0)</f>
        <v>1261</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09">
        <f ca="1">C5-C30</f>
        <v>106398</v>
      </c>
      <c r="D39" s="1094" t="s">
        <v>773</v>
      </c>
      <c r="E39" s="1095"/>
      <c r="F39" s="1096"/>
      <c r="G39" s="1383"/>
      <c r="H39" s="2697"/>
      <c r="I39" s="1397"/>
      <c r="J39" s="1398"/>
      <c r="K39" s="2701"/>
      <c r="L39" s="2697"/>
      <c r="M39" s="2697"/>
    </row>
    <row r="40" spans="1:18" ht="18" customHeight="1">
      <c r="A40" s="298" t="s">
        <v>395</v>
      </c>
      <c r="B40" s="299" t="s">
        <v>774</v>
      </c>
      <c r="C40" s="300">
        <f ca="1">ROUND(C39*(1-((1+F42)/(1+F40))^F41)/(F40-F42),0)</f>
        <v>1438646</v>
      </c>
      <c r="D40" s="323" t="s">
        <v>758</v>
      </c>
      <c r="E40" s="301" t="s">
        <v>759</v>
      </c>
      <c r="F40" s="311">
        <f ca="1">INDIRECT("'数据-取费表'!I"&amp;$G$1)</f>
        <v>5.5E-2</v>
      </c>
      <c r="G40" s="1383"/>
      <c r="H40" s="1460"/>
      <c r="I40" s="1397"/>
      <c r="J40" s="1398"/>
      <c r="K40" s="2701"/>
      <c r="L40" s="1460"/>
      <c r="M40" s="1460"/>
    </row>
    <row r="41" spans="1:18" ht="18" customHeight="1">
      <c r="A41" s="303"/>
      <c r="B41" s="304"/>
      <c r="C41" s="305"/>
      <c r="D41" s="331" t="s">
        <v>775</v>
      </c>
      <c r="E41" s="301" t="s">
        <v>763</v>
      </c>
      <c r="F41" s="332">
        <f ca="1">IF(INDIRECT("'数据-取费表'!af"&amp;$G$1)=0,INDIRECT("'数据-取费表'!ae"&amp;$G$1),INDIRECT("'数据-取费表'!af"&amp;$G$1))</f>
        <v>19</v>
      </c>
      <c r="G41" s="1383"/>
      <c r="H41" s="1190">
        <f ca="1">C39/C5</f>
        <v>0.84403334946334652</v>
      </c>
      <c r="I41" s="1397"/>
      <c r="J41" s="1398"/>
      <c r="K41" s="2542"/>
      <c r="L41" s="1190"/>
      <c r="M41" s="1190"/>
    </row>
    <row r="42" spans="1:18" ht="18" customHeight="1">
      <c r="A42" s="307"/>
      <c r="B42" s="308"/>
      <c r="C42" s="309"/>
      <c r="D42" s="326"/>
      <c r="E42" s="301" t="s">
        <v>766</v>
      </c>
      <c r="F42" s="311">
        <f ca="1">INDIRECT("'数据-取费表'!v"&amp;$G$1)</f>
        <v>0.02</v>
      </c>
      <c r="G42" s="1383"/>
      <c r="H42" s="1190"/>
      <c r="I42" s="1397"/>
      <c r="J42" s="1398"/>
      <c r="K42" s="2542"/>
      <c r="L42" s="1190"/>
      <c r="M42" s="1190"/>
    </row>
    <row r="43" spans="1:18" ht="18" customHeight="1" thickBot="1">
      <c r="A43" s="333" t="s">
        <v>396</v>
      </c>
      <c r="B43" s="334" t="s">
        <v>776</v>
      </c>
      <c r="C43" s="335">
        <f ca="1">ROUND(C40/F43,0)</f>
        <v>8258</v>
      </c>
      <c r="D43" s="336" t="s">
        <v>777</v>
      </c>
      <c r="E43" s="337" t="s">
        <v>778</v>
      </c>
      <c r="F43" s="338">
        <f ca="1">INDIRECT("'数据-取费表'!k"&amp;$G$1)</f>
        <v>174.21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7" t="s">
        <v>3353</v>
      </c>
      <c r="B45" s="1399"/>
      <c r="C45" s="1471">
        <f ca="1">ROUND((C68-C40)/10000,4)</f>
        <v>-155.4804</v>
      </c>
      <c r="D45" s="3428" t="s">
        <v>3354</v>
      </c>
      <c r="E45" s="1399"/>
      <c r="F45" s="1399"/>
      <c r="O45" s="1402" t="s">
        <v>808</v>
      </c>
      <c r="P45" s="1460"/>
      <c r="Q45" s="1460"/>
      <c r="R45" s="1460"/>
    </row>
    <row r="46" spans="1:18" s="1383" customFormat="1" ht="13.5" thickBot="1">
      <c r="A46" s="1403" t="s">
        <v>809</v>
      </c>
      <c r="C46" s="1404">
        <f ca="1">ROUND(C45,0)</f>
        <v>-155</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1438646</v>
      </c>
      <c r="R47" s="1419" t="s">
        <v>818</v>
      </c>
    </row>
    <row r="48" spans="1:18" s="1383" customFormat="1" ht="28.5" thickBot="1">
      <c r="A48" s="1109" t="s">
        <v>438</v>
      </c>
      <c r="B48" s="299" t="s">
        <v>692</v>
      </c>
      <c r="C48" s="1358">
        <f ca="1">C49+C53+C55</f>
        <v>0</v>
      </c>
      <c r="D48" s="1111"/>
      <c r="E48" s="1112"/>
      <c r="F48" s="961"/>
      <c r="G48" s="721"/>
      <c r="H48" s="722"/>
      <c r="I48" s="1420" t="s">
        <v>819</v>
      </c>
      <c r="J48" s="1421" t="s">
        <v>3408</v>
      </c>
      <c r="K48" s="1422" t="s">
        <v>820</v>
      </c>
      <c r="L48" s="1423">
        <f ca="1">INDIRECT("'数据-取费表'!f"&amp;$G$1)</f>
        <v>19</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2005</v>
      </c>
      <c r="K49" s="1422" t="s">
        <v>824</v>
      </c>
      <c r="L49" s="1426"/>
      <c r="O49" s="1427" t="s">
        <v>405</v>
      </c>
      <c r="P49" s="1418" t="s">
        <v>825</v>
      </c>
      <c r="Q49" s="1419">
        <f ca="1">C29</f>
        <v>933525</v>
      </c>
      <c r="R49" s="1419" t="s">
        <v>818</v>
      </c>
    </row>
    <row r="50" spans="1:18" s="1383" customFormat="1" ht="13.5" thickBot="1">
      <c r="A50" s="975"/>
      <c r="B50" s="978"/>
      <c r="C50" s="979"/>
      <c r="D50" s="952"/>
      <c r="E50" s="1055" t="s">
        <v>697</v>
      </c>
      <c r="F50" s="1056">
        <f ca="1">F7</f>
        <v>174.21</v>
      </c>
      <c r="H50" s="722"/>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31</v>
      </c>
      <c r="K51" s="1433" t="s">
        <v>830</v>
      </c>
      <c r="L51" s="1434">
        <f ca="1">ROUND(-PV(INDIRECT("'数据-取费表'!h"&amp;$G$1),J51,(C39-C13*C76),0),0)</f>
        <v>925407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f>基准地价修正!E44</f>
        <v>5.5E-2</v>
      </c>
      <c r="O52" s="1427" t="s">
        <v>408</v>
      </c>
      <c r="P52" s="1418" t="s">
        <v>834</v>
      </c>
      <c r="Q52" s="1419">
        <f ca="1">J53</f>
        <v>19</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19</v>
      </c>
      <c r="K53" s="3765" t="s">
        <v>837</v>
      </c>
      <c r="L53" s="3766"/>
      <c r="O53" s="1417" t="s">
        <v>409</v>
      </c>
      <c r="P53" s="1418" t="s">
        <v>838</v>
      </c>
      <c r="Q53" s="1419">
        <f ca="1">Q47+Q48</f>
        <v>1438646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672138</v>
      </c>
      <c r="D56" s="1446"/>
      <c r="E56" s="1447"/>
      <c r="F56" s="1439"/>
      <c r="I56" s="1448" t="s">
        <v>842</v>
      </c>
      <c r="J56" s="1449" t="s">
        <v>3393</v>
      </c>
      <c r="K56" s="1420" t="s">
        <v>843</v>
      </c>
      <c r="L56" s="1423" t="str">
        <f ca="1">IF(L48&lt;J51,"——",L48-J51)</f>
        <v>——</v>
      </c>
      <c r="O56" s="1417" t="s">
        <v>403</v>
      </c>
      <c r="P56" s="1418" t="s">
        <v>817</v>
      </c>
      <c r="Q56" s="1419">
        <f ca="1">C40+J29</f>
        <v>1438646</v>
      </c>
      <c r="R56" s="1419" t="s">
        <v>818</v>
      </c>
    </row>
    <row r="57" spans="1:18" s="1383" customFormat="1" ht="24.75" thickBot="1">
      <c r="A57" s="1450"/>
      <c r="B57" s="949" t="s">
        <v>767</v>
      </c>
      <c r="C57" s="237">
        <f ca="1">C29</f>
        <v>933525</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10007</v>
      </c>
      <c r="D58" s="959" t="s">
        <v>715</v>
      </c>
      <c r="E58" s="960"/>
      <c r="F58" s="961"/>
      <c r="I58" s="1454" t="s">
        <v>848</v>
      </c>
      <c r="J58" s="1456" t="e">
        <f ca="1">IF(J55&lt;0.4,0.4,J55)</f>
        <v>#VALUE!</v>
      </c>
      <c r="K58" s="1433" t="s">
        <v>895</v>
      </c>
      <c r="L58" s="1423">
        <f ca="1">ROUND(POWER(1+L52,L47-L48)*(POWER(1+L52,L48)-1)/(POWER(1+L52,L47)-1),4)</f>
        <v>0.72340000000000004</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f ca="1">ROUND(IF(D1="在建（套用方法）",M59,IF(D1="土地（套用方法）",N59,POWER(1+L52,L47-J51)*(POWER(1+L52,J51)-1)/(POWER(1+L52,L47)-1))),4)</f>
        <v>0.91759999999999997</v>
      </c>
      <c r="M59" s="1380">
        <f ca="1">ROUND(POWER(1+L52,L47-(J51+'数据-取费表'!B24))*(POWER(1+L52,(J51+'数据-取费表'!B24))-1)/(POWER(1+L52,L47)-1),4)</f>
        <v>0.91759999999999997</v>
      </c>
      <c r="N59" s="1380">
        <f ca="1">ROUND(POWER(1+L52,L47-(J51+'数据-取费表'!B20))*(POWER(1+L52,(J51+'数据-取费表'!B20))-1)/(POWER(1+L52,L47)-1),4)</f>
        <v>0.9395</v>
      </c>
      <c r="O59" s="1427" t="s">
        <v>406</v>
      </c>
      <c r="P59" s="1418" t="s">
        <v>852</v>
      </c>
      <c r="Q59" s="1430">
        <f>L52</f>
        <v>5.5E-2</v>
      </c>
      <c r="R59" s="1419"/>
    </row>
    <row r="60" spans="1:18" s="1383" customFormat="1" ht="16.5" thickBot="1">
      <c r="A60" s="981" t="s">
        <v>397</v>
      </c>
      <c r="B60" s="949" t="s">
        <v>723</v>
      </c>
      <c r="C60" s="21" t="str">
        <f>IF(项目基本情况!B11="自然人","——",ROUND(C48*F60/(1+'数据-取费表'!C42),0))</f>
        <v>——</v>
      </c>
      <c r="D60" s="963" t="s">
        <v>724</v>
      </c>
      <c r="E60" s="949" t="s">
        <v>712</v>
      </c>
      <c r="F60" s="330">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f ca="1">L58</f>
        <v>0.72340000000000004</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3337</v>
      </c>
      <c r="E61" s="949" t="s">
        <v>783</v>
      </c>
      <c r="F61" s="321">
        <f t="shared" si="0"/>
        <v>0.12</v>
      </c>
      <c r="I61" s="1460"/>
      <c r="J61" s="1460"/>
      <c r="K61" s="1460"/>
      <c r="L61" s="1460"/>
      <c r="O61" s="1427" t="s">
        <v>408</v>
      </c>
      <c r="P61" s="1418" t="str">
        <f>K59</f>
        <v>建筑物剩余耐用年限下的土地年期修正系数Kn</v>
      </c>
      <c r="Q61" s="1419">
        <f ca="1">L59</f>
        <v>0.91759999999999997</v>
      </c>
      <c r="R61" s="1419" t="s">
        <v>857</v>
      </c>
    </row>
    <row r="62" spans="1:18" s="1383" customFormat="1" ht="13.5" thickBot="1">
      <c r="A62" s="981" t="s">
        <v>784</v>
      </c>
      <c r="B62" s="948" t="s">
        <v>785</v>
      </c>
      <c r="C62" s="22" t="str">
        <f>IF(项目基本情况!B11="自然人","——",ROUND(F62*F63,0))</f>
        <v>——</v>
      </c>
      <c r="D62" s="964" t="s">
        <v>786</v>
      </c>
      <c r="E62" s="949" t="s">
        <v>787</v>
      </c>
      <c r="F62" s="324">
        <f t="shared" si="0"/>
        <v>1.5</v>
      </c>
      <c r="I62" s="1461" t="s">
        <v>858</v>
      </c>
      <c r="J62" s="1462" t="s">
        <v>859</v>
      </c>
      <c r="K62" s="1462" t="s">
        <v>860</v>
      </c>
      <c r="L62" s="1462" t="s">
        <v>861</v>
      </c>
      <c r="M62" s="1463" t="s">
        <v>862</v>
      </c>
      <c r="O62" s="1417" t="s">
        <v>409</v>
      </c>
      <c r="P62" s="1418" t="s">
        <v>863</v>
      </c>
      <c r="Q62" s="1419">
        <f ca="1">Q56+Q57</f>
        <v>1438646</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9335</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672</v>
      </c>
      <c r="D65" s="963" t="s">
        <v>743</v>
      </c>
      <c r="E65" s="949" t="s">
        <v>744</v>
      </c>
      <c r="F65" s="329">
        <f t="shared" ca="1" si="0"/>
        <v>1E-3</v>
      </c>
      <c r="I65" s="1461" t="s">
        <v>867</v>
      </c>
      <c r="J65" s="1462">
        <v>40</v>
      </c>
      <c r="K65" s="1462">
        <v>30</v>
      </c>
      <c r="L65" s="1462">
        <v>50</v>
      </c>
      <c r="M65" s="1464">
        <v>0.02</v>
      </c>
      <c r="O65" s="1417" t="s">
        <v>403</v>
      </c>
      <c r="P65" s="1418" t="s">
        <v>868</v>
      </c>
      <c r="Q65" s="1419">
        <f ca="1">C40+J29</f>
        <v>1438646</v>
      </c>
      <c r="R65" s="1419" t="s">
        <v>818</v>
      </c>
    </row>
    <row r="66" spans="1:18" s="1383" customFormat="1" ht="16.5" thickBot="1">
      <c r="A66" s="981" t="s">
        <v>793</v>
      </c>
      <c r="B66" s="949" t="s">
        <v>728</v>
      </c>
      <c r="C66" s="21">
        <f ca="1">ROUND(C48*F66,0)</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-10007</v>
      </c>
      <c r="D67" s="962" t="s">
        <v>753</v>
      </c>
      <c r="E67" s="967"/>
      <c r="F67" s="968"/>
      <c r="O67" s="1427" t="s">
        <v>405</v>
      </c>
      <c r="P67" s="1418" t="s">
        <v>850</v>
      </c>
      <c r="Q67" s="1465">
        <f ca="1">L51</f>
        <v>925407</v>
      </c>
      <c r="R67" s="1419" t="s">
        <v>870</v>
      </c>
    </row>
    <row r="68" spans="1:18" s="1383" customFormat="1" ht="16.5" thickBot="1">
      <c r="A68" s="946" t="s">
        <v>395</v>
      </c>
      <c r="B68" s="947" t="s">
        <v>774</v>
      </c>
      <c r="C68" s="300">
        <f ca="1">ROUND(C67*(1-((1+F70)/(1+F68))^F69)/(F68-F70),0)</f>
        <v>-116158</v>
      </c>
      <c r="D68" s="964" t="s">
        <v>758</v>
      </c>
      <c r="E68" s="949" t="s">
        <v>759</v>
      </c>
      <c r="F68" s="311">
        <f ca="1">F40</f>
        <v>5.5E-2</v>
      </c>
      <c r="O68" s="1427" t="s">
        <v>406</v>
      </c>
      <c r="P68" s="1466" t="s">
        <v>871</v>
      </c>
      <c r="Q68" s="1419">
        <f ca="1">ROUND(Q69-Q70*Q71,0)</f>
        <v>59348</v>
      </c>
      <c r="R68" s="1419" t="s">
        <v>414</v>
      </c>
    </row>
    <row r="69" spans="1:18" s="1383" customFormat="1" ht="13.5" thickBot="1">
      <c r="A69" s="950"/>
      <c r="B69" s="951"/>
      <c r="C69" s="305"/>
      <c r="D69" s="969" t="s">
        <v>762</v>
      </c>
      <c r="E69" s="949" t="s">
        <v>763</v>
      </c>
      <c r="F69" s="332">
        <f ca="1">F41</f>
        <v>19</v>
      </c>
      <c r="O69" s="1427" t="s">
        <v>411</v>
      </c>
      <c r="P69" s="1466" t="s">
        <v>872</v>
      </c>
      <c r="Q69" s="1419">
        <f ca="1">C39</f>
        <v>106398</v>
      </c>
      <c r="R69" s="1419" t="s">
        <v>818</v>
      </c>
    </row>
    <row r="70" spans="1:18" s="1383" customFormat="1" ht="13.5" thickBot="1">
      <c r="A70" s="953"/>
      <c r="B70" s="954"/>
      <c r="C70" s="309"/>
      <c r="D70" s="965"/>
      <c r="E70" s="949" t="s">
        <v>766</v>
      </c>
      <c r="F70" s="1053"/>
      <c r="O70" s="1427" t="s">
        <v>412</v>
      </c>
      <c r="P70" s="1466" t="s">
        <v>873</v>
      </c>
      <c r="Q70" s="1419">
        <f ca="1">C13</f>
        <v>672138</v>
      </c>
      <c r="R70" s="1419" t="s">
        <v>818</v>
      </c>
    </row>
    <row r="71" spans="1:18" s="1383" customFormat="1" ht="13.5" thickBot="1">
      <c r="A71" s="970" t="s">
        <v>396</v>
      </c>
      <c r="B71" s="971" t="s">
        <v>776</v>
      </c>
      <c r="C71" s="335">
        <f ca="1">ROUND(C68/F71,0)</f>
        <v>-667</v>
      </c>
      <c r="D71" s="972" t="s">
        <v>777</v>
      </c>
      <c r="E71" s="973" t="s">
        <v>778</v>
      </c>
      <c r="F71" s="338">
        <f ca="1">F43</f>
        <v>174.21</v>
      </c>
      <c r="O71" s="1427" t="s">
        <v>413</v>
      </c>
      <c r="P71" s="1466" t="s">
        <v>874</v>
      </c>
      <c r="Q71" s="1430">
        <f ca="1">C76</f>
        <v>7.0000000000000007E-2</v>
      </c>
      <c r="R71" s="1419"/>
    </row>
    <row r="72" spans="1:18" s="1383" customFormat="1" ht="13.5" thickBot="1">
      <c r="B72" s="725"/>
      <c r="C72" s="725"/>
      <c r="O72" s="1427" t="s">
        <v>407</v>
      </c>
      <c r="P72" s="1418" t="s">
        <v>852</v>
      </c>
      <c r="Q72" s="1430">
        <f>L52</f>
        <v>5.5E-2</v>
      </c>
      <c r="R72" s="1419"/>
    </row>
    <row r="73" spans="1:18" ht="16.5" thickBot="1">
      <c r="A73" s="1383"/>
      <c r="B73" s="725"/>
      <c r="C73" s="725"/>
      <c r="D73" s="1383"/>
      <c r="E73" s="1383"/>
      <c r="F73" s="1383"/>
      <c r="O73" s="1427" t="s">
        <v>408</v>
      </c>
      <c r="P73" s="1418" t="s">
        <v>855</v>
      </c>
      <c r="Q73" s="1419">
        <f ca="1">L58</f>
        <v>0.72340000000000004</v>
      </c>
      <c r="R73" s="1419" t="s">
        <v>856</v>
      </c>
    </row>
    <row r="74" spans="1:18" ht="13.5" thickBot="1">
      <c r="A74" s="1383"/>
      <c r="B74" s="272" t="s">
        <v>875</v>
      </c>
      <c r="C74" s="1468"/>
      <c r="D74" s="1383"/>
      <c r="E74" s="1383"/>
      <c r="F74" s="1383"/>
      <c r="O74" s="1427" t="s">
        <v>415</v>
      </c>
      <c r="P74" s="1418" t="str">
        <f>K59</f>
        <v>建筑物剩余耐用年限下的土地年期修正系数Kn</v>
      </c>
      <c r="Q74" s="1419">
        <f ca="1">L59</f>
        <v>0.91759999999999997</v>
      </c>
      <c r="R74" s="1419" t="s">
        <v>857</v>
      </c>
    </row>
    <row r="75" spans="1:18" ht="13.5" thickBot="1">
      <c r="A75" s="1383"/>
      <c r="B75" s="339" t="s">
        <v>795</v>
      </c>
      <c r="C75" s="340">
        <f ca="1">ROUND(C13*C76,0)</f>
        <v>47050</v>
      </c>
      <c r="D75" s="1383"/>
      <c r="E75" s="1383"/>
      <c r="F75" s="1383"/>
      <c r="K75" s="1401"/>
      <c r="L75" s="1383"/>
      <c r="O75" s="1417" t="s">
        <v>409</v>
      </c>
      <c r="P75" s="1418" t="s">
        <v>838</v>
      </c>
      <c r="Q75" s="1419">
        <f ca="1">Q65+Q66</f>
        <v>1438646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0.55800000000000005</v>
      </c>
    </row>
    <row r="80" spans="1:18">
      <c r="B80" s="339" t="s">
        <v>800</v>
      </c>
      <c r="C80" s="273">
        <f ca="1">ROUND(C75/C39,3)</f>
        <v>0.442</v>
      </c>
    </row>
    <row r="81" spans="2:3">
      <c r="B81" s="269" t="s">
        <v>801</v>
      </c>
      <c r="C81" s="237"/>
    </row>
    <row r="82" spans="2:3">
      <c r="B82" s="272" t="s">
        <v>802</v>
      </c>
      <c r="C82" s="274">
        <f ca="1">1-C83</f>
        <v>0.53299999999999992</v>
      </c>
    </row>
    <row r="83" spans="2:3">
      <c r="B83" s="272" t="s">
        <v>803</v>
      </c>
      <c r="C83" s="273">
        <f ca="1">ROUND(C13/C40,3)</f>
        <v>0.46700000000000003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21</v>
      </c>
      <c r="E1" s="3429" t="s">
        <v>3424</v>
      </c>
      <c r="F1" s="1878" t="s">
        <v>3420</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30759</v>
      </c>
      <c r="C3" s="353" t="s">
        <v>1768</v>
      </c>
      <c r="D3" s="352">
        <f>IF(D1="",'数据-汇总表'!E3,SUMIF('数据-汇总表'!$C19:$C33,D1,'数据-汇总表'!$E19:$E33))</f>
        <v>0</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73" t="s">
        <v>1775</v>
      </c>
      <c r="Q4" s="3774"/>
      <c r="R4" s="3777" t="s">
        <v>1771</v>
      </c>
      <c r="S4" s="3778"/>
      <c r="T4" s="3777" t="s">
        <v>1772</v>
      </c>
      <c r="U4" s="3778"/>
      <c r="V4" s="3779" t="s">
        <v>1773</v>
      </c>
      <c r="W4" s="3779"/>
      <c r="X4" s="1957"/>
      <c r="Y4" s="3777" t="s">
        <v>1775</v>
      </c>
      <c r="Z4" s="3778"/>
      <c r="AA4" s="3783" t="s">
        <v>1771</v>
      </c>
      <c r="AB4" s="3783" t="s">
        <v>1772</v>
      </c>
      <c r="AC4" s="3770" t="s">
        <v>1773</v>
      </c>
    </row>
    <row r="5" spans="1:29" ht="15">
      <c r="A5" s="357"/>
      <c r="B5" s="358"/>
      <c r="C5" s="3780" t="s">
        <v>3487</v>
      </c>
      <c r="D5" s="3735"/>
      <c r="E5" s="3741"/>
      <c r="F5" s="3742"/>
      <c r="G5" s="3780" t="s">
        <v>3489</v>
      </c>
      <c r="H5" s="3735"/>
      <c r="I5" s="3780" t="s">
        <v>3494</v>
      </c>
      <c r="J5" s="3735"/>
      <c r="K5" s="558"/>
      <c r="L5" s="2712"/>
      <c r="M5" s="2713"/>
      <c r="N5" s="2713"/>
      <c r="O5" s="2713"/>
      <c r="P5" s="3775"/>
      <c r="Q5" s="3723"/>
      <c r="R5" s="3728"/>
      <c r="S5" s="3729"/>
      <c r="T5" s="3728"/>
      <c r="U5" s="3729"/>
      <c r="V5" s="3711"/>
      <c r="W5" s="3711"/>
      <c r="X5" s="1354"/>
      <c r="Y5" s="3728"/>
      <c r="Z5" s="3729"/>
      <c r="AA5" s="3714"/>
      <c r="AB5" s="3714"/>
      <c r="AC5" s="3771"/>
    </row>
    <row r="6" spans="1:29" ht="15.75" thickBot="1">
      <c r="A6" s="359"/>
      <c r="B6" s="360"/>
      <c r="C6" s="3732" t="s">
        <v>1677</v>
      </c>
      <c r="D6" s="3733"/>
      <c r="E6" s="3782"/>
      <c r="F6" s="3740"/>
      <c r="G6" s="3732" t="s">
        <v>1677</v>
      </c>
      <c r="H6" s="3733"/>
      <c r="I6" s="3732" t="s">
        <v>1677</v>
      </c>
      <c r="J6" s="3733"/>
      <c r="K6" s="558" t="s">
        <v>1678</v>
      </c>
      <c r="L6" s="2712"/>
      <c r="M6" s="2713"/>
      <c r="N6" s="2713"/>
      <c r="O6" s="2713"/>
      <c r="P6" s="3776"/>
      <c r="Q6" s="3725"/>
      <c r="R6" s="3728"/>
      <c r="S6" s="3729"/>
      <c r="T6" s="3730"/>
      <c r="U6" s="3731"/>
      <c r="V6" s="3711"/>
      <c r="W6" s="3711"/>
      <c r="X6" s="1354"/>
      <c r="Y6" s="3730"/>
      <c r="Z6" s="3731"/>
      <c r="AA6" s="3715"/>
      <c r="AB6" s="3715"/>
      <c r="AC6" s="3772"/>
    </row>
    <row r="7" spans="1:29" s="107" customFormat="1" ht="15.75" thickBot="1">
      <c r="A7" s="361" t="s">
        <v>1679</v>
      </c>
      <c r="B7" s="362"/>
      <c r="C7" s="363">
        <f>'数据-取费表'!B2</f>
        <v>45299</v>
      </c>
      <c r="D7" s="364">
        <v>100</v>
      </c>
      <c r="E7" s="365">
        <f>C7</f>
        <v>45299</v>
      </c>
      <c r="F7" s="366">
        <f>SUMIF(59:59,YEAR(E7)&amp;"-"&amp;MONTH(E7),60:60)</f>
        <v>100</v>
      </c>
      <c r="G7" s="365">
        <f>C7</f>
        <v>45299</v>
      </c>
      <c r="H7" s="364">
        <f>SUMIF(59:59,YEAR(G7)&amp;"-"&amp;MONTH(G7),60:60)</f>
        <v>100</v>
      </c>
      <c r="I7" s="365">
        <f>C7</f>
        <v>45299</v>
      </c>
      <c r="J7" s="364">
        <f>SUMIF(59:59,YEAR(I7)&amp;"-"&amp;MONTH(I7),60:60)</f>
        <v>100</v>
      </c>
      <c r="K7" s="559"/>
      <c r="L7" s="2714"/>
      <c r="M7" s="2715"/>
      <c r="N7" s="2715"/>
      <c r="O7" s="2715"/>
      <c r="P7" s="3781" t="s">
        <v>1680</v>
      </c>
      <c r="Q7" s="3738"/>
      <c r="R7" s="700" t="s">
        <v>14</v>
      </c>
      <c r="S7" s="701">
        <f t="shared" ref="S7:S15" si="0">F7</f>
        <v>100</v>
      </c>
      <c r="T7" s="700" t="s">
        <v>14</v>
      </c>
      <c r="U7" s="701">
        <f t="shared" ref="U7:U15" si="1">H7</f>
        <v>100</v>
      </c>
      <c r="V7" s="700" t="s">
        <v>14</v>
      </c>
      <c r="W7" s="701">
        <f t="shared" ref="W7:W15" si="2">J7</f>
        <v>100</v>
      </c>
      <c r="X7" s="702"/>
      <c r="Y7" s="3736" t="s">
        <v>1680</v>
      </c>
      <c r="Z7" s="3737"/>
      <c r="AA7" s="703">
        <f>D7/F7</f>
        <v>1</v>
      </c>
      <c r="AB7" s="703">
        <f>D7/H7</f>
        <v>1</v>
      </c>
      <c r="AC7" s="1958">
        <f>D7/J7</f>
        <v>1</v>
      </c>
    </row>
    <row r="8" spans="1:29" s="107" customFormat="1" ht="15.75" thickBot="1">
      <c r="A8" s="361" t="s">
        <v>1681</v>
      </c>
      <c r="B8" s="362"/>
      <c r="C8" s="367" t="s">
        <v>3429</v>
      </c>
      <c r="D8" s="364">
        <v>100</v>
      </c>
      <c r="E8" s="367" t="s">
        <v>3430</v>
      </c>
      <c r="F8" s="366">
        <f>SUMIF(62:62,E8,63:63)-SUMIF(62:62,C8,63:63)+100</f>
        <v>105</v>
      </c>
      <c r="G8" s="367" t="s">
        <v>3430</v>
      </c>
      <c r="H8" s="364">
        <f>SUMIF(62:62,G8,63:63)-SUMIF(62:62,C8,63:63)+100</f>
        <v>105</v>
      </c>
      <c r="I8" s="367" t="s">
        <v>3430</v>
      </c>
      <c r="J8" s="364">
        <f>SUMIF(62:62,I8,63:63)-SUMIF(62:62,C8,63:63)+100</f>
        <v>105</v>
      </c>
      <c r="K8" s="559"/>
      <c r="L8" s="2714"/>
      <c r="M8" s="2715"/>
      <c r="N8" s="2715"/>
      <c r="O8" s="2715"/>
      <c r="P8" s="3781" t="s">
        <v>1683</v>
      </c>
      <c r="Q8" s="3737"/>
      <c r="R8" s="700" t="s">
        <v>14</v>
      </c>
      <c r="S8" s="701">
        <f t="shared" si="0"/>
        <v>105</v>
      </c>
      <c r="T8" s="700" t="s">
        <v>14</v>
      </c>
      <c r="U8" s="701">
        <f t="shared" si="1"/>
        <v>105</v>
      </c>
      <c r="V8" s="700" t="s">
        <v>14</v>
      </c>
      <c r="W8" s="701">
        <f t="shared" si="2"/>
        <v>105</v>
      </c>
      <c r="X8" s="702"/>
      <c r="Y8" s="3736" t="s">
        <v>1683</v>
      </c>
      <c r="Z8" s="3737"/>
      <c r="AA8" s="703">
        <f t="shared" ref="AA8:AA47" si="3">D8/F8</f>
        <v>0.95238095238095233</v>
      </c>
      <c r="AB8" s="703">
        <f t="shared" ref="AB8:AB47" si="4">D8/H8</f>
        <v>0.95238095238095233</v>
      </c>
      <c r="AC8" s="1958">
        <f t="shared" ref="AC8:AC47" si="5">D8/J8</f>
        <v>0.95238095238095233</v>
      </c>
    </row>
    <row r="9" spans="1:29" s="107" customFormat="1">
      <c r="A9" s="368" t="s">
        <v>1684</v>
      </c>
      <c r="B9" s="63" t="s">
        <v>1685</v>
      </c>
      <c r="C9" s="3489" t="s">
        <v>3454</v>
      </c>
      <c r="D9" s="125">
        <v>100</v>
      </c>
      <c r="E9" s="372" t="s">
        <v>21</v>
      </c>
      <c r="F9" s="125">
        <f>SUMIF(64:64,E9,65:65)-SUMIF(64:64,C9,65:65)+100</f>
        <v>100</v>
      </c>
      <c r="G9" s="372" t="s">
        <v>21</v>
      </c>
      <c r="H9" s="125">
        <f>SUMIF(64:64,G9,65:65)-SUMIF(64:64,C9,65:65)+100</f>
        <v>100</v>
      </c>
      <c r="I9" s="372" t="s">
        <v>21</v>
      </c>
      <c r="J9" s="125">
        <f>SUMIF(64:64,I9,65:65)-SUMIF(64:64,C9,65:65)+100</f>
        <v>100</v>
      </c>
      <c r="K9" s="559"/>
      <c r="L9" s="2714"/>
      <c r="M9" s="2715"/>
      <c r="N9" s="2715"/>
      <c r="O9" s="2715"/>
      <c r="P9" s="3712" t="s">
        <v>1686</v>
      </c>
      <c r="Q9" s="1342" t="str">
        <f t="shared" ref="Q9:Q15" si="6">B9</f>
        <v>用途</v>
      </c>
      <c r="R9" s="700" t="s">
        <v>14</v>
      </c>
      <c r="S9" s="701">
        <f t="shared" si="0"/>
        <v>100</v>
      </c>
      <c r="T9" s="700" t="s">
        <v>14</v>
      </c>
      <c r="U9" s="701">
        <f t="shared" si="1"/>
        <v>100</v>
      </c>
      <c r="V9" s="700" t="s">
        <v>14</v>
      </c>
      <c r="W9" s="701">
        <f t="shared" si="2"/>
        <v>100</v>
      </c>
      <c r="X9" s="702"/>
      <c r="Y9" s="3597" t="s">
        <v>1687</v>
      </c>
      <c r="Z9" s="52" t="str">
        <f t="shared" ref="Z9:Z15" si="7">Q9</f>
        <v>用途</v>
      </c>
      <c r="AA9" s="703">
        <f t="shared" si="3"/>
        <v>1</v>
      </c>
      <c r="AB9" s="703">
        <f t="shared" si="4"/>
        <v>1</v>
      </c>
      <c r="AC9" s="1958">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6"/>
      <c r="M10" s="2717"/>
      <c r="N10" s="2717"/>
      <c r="O10" s="2717"/>
      <c r="P10" s="3712"/>
      <c r="Q10" s="1342"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12"/>
      <c r="Q11" s="1342" t="str">
        <f t="shared" si="6"/>
        <v>容积率</v>
      </c>
      <c r="R11" s="700" t="s">
        <v>14</v>
      </c>
      <c r="S11" s="701">
        <f t="shared" si="0"/>
        <v>100</v>
      </c>
      <c r="T11" s="700" t="s">
        <v>14</v>
      </c>
      <c r="U11" s="701">
        <f t="shared" si="1"/>
        <v>100</v>
      </c>
      <c r="V11" s="700" t="s">
        <v>14</v>
      </c>
      <c r="W11" s="701">
        <f t="shared" si="2"/>
        <v>100</v>
      </c>
      <c r="X11" s="702"/>
      <c r="Y11" s="3597"/>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4"/>
      <c r="M12" s="2715"/>
      <c r="N12" s="2715"/>
      <c r="O12" s="2715"/>
      <c r="P12" s="3712"/>
      <c r="Q12" s="1342">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9"/>
      <c r="M13" s="2713"/>
      <c r="N13" s="2713"/>
      <c r="O13" s="2713"/>
      <c r="P13" s="3712"/>
      <c r="Q13" s="1342">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9"/>
      <c r="M14" s="2713"/>
      <c r="N14" s="2713"/>
      <c r="O14" s="2713"/>
      <c r="P14" s="3712"/>
      <c r="Q14" s="1342">
        <f t="shared" si="6"/>
        <v>111</v>
      </c>
      <c r="R14" s="700" t="s">
        <v>14</v>
      </c>
      <c r="S14" s="701">
        <f t="shared" si="0"/>
        <v>100</v>
      </c>
      <c r="T14" s="700" t="s">
        <v>14</v>
      </c>
      <c r="U14" s="701">
        <f t="shared" si="1"/>
        <v>100</v>
      </c>
      <c r="V14" s="700" t="s">
        <v>14</v>
      </c>
      <c r="W14" s="701">
        <f t="shared" si="2"/>
        <v>100</v>
      </c>
      <c r="X14" s="702"/>
      <c r="Y14" s="3597"/>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9"/>
      <c r="M15" s="2713"/>
      <c r="N15" s="2713"/>
      <c r="O15" s="2713"/>
      <c r="P15" s="3702" t="s">
        <v>1691</v>
      </c>
      <c r="Q15" s="1351" t="str">
        <f t="shared" si="6"/>
        <v>办公集聚程度</v>
      </c>
      <c r="R15" s="704" t="s">
        <v>14</v>
      </c>
      <c r="S15" s="705">
        <f t="shared" si="0"/>
        <v>100</v>
      </c>
      <c r="T15" s="704" t="s">
        <v>14</v>
      </c>
      <c r="U15" s="705">
        <f t="shared" si="1"/>
        <v>100</v>
      </c>
      <c r="V15" s="704" t="s">
        <v>14</v>
      </c>
      <c r="W15" s="705">
        <f t="shared" si="2"/>
        <v>100</v>
      </c>
      <c r="X15" s="1354"/>
      <c r="Y15" s="3704" t="s">
        <v>1691</v>
      </c>
      <c r="Z15" s="1355" t="str">
        <f t="shared" si="7"/>
        <v>办公集聚程度</v>
      </c>
      <c r="AA15" s="1352">
        <f t="shared" si="3"/>
        <v>1</v>
      </c>
      <c r="AB15" s="1352">
        <f t="shared" si="4"/>
        <v>1</v>
      </c>
      <c r="AC15" s="1961">
        <f t="shared" si="5"/>
        <v>1</v>
      </c>
    </row>
    <row r="16" spans="1:29" ht="15">
      <c r="A16" s="378"/>
      <c r="B16" s="577"/>
      <c r="C16" s="1903" t="s">
        <v>3412</v>
      </c>
      <c r="D16" s="398"/>
      <c r="E16" s="1903" t="s">
        <v>3412</v>
      </c>
      <c r="F16" s="398"/>
      <c r="G16" s="1903" t="s">
        <v>3412</v>
      </c>
      <c r="H16" s="400"/>
      <c r="I16" s="1903" t="s">
        <v>3412</v>
      </c>
      <c r="J16" s="398"/>
      <c r="K16" s="563"/>
      <c r="L16" s="2719"/>
      <c r="M16" s="2713"/>
      <c r="N16" s="2713"/>
      <c r="O16" s="2713"/>
      <c r="P16" s="3703"/>
      <c r="Q16" s="1351"/>
      <c r="R16" s="704"/>
      <c r="S16" s="705"/>
      <c r="T16" s="704"/>
      <c r="U16" s="705"/>
      <c r="V16" s="704"/>
      <c r="W16" s="705"/>
      <c r="X16" s="1354"/>
      <c r="Y16" s="3705"/>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9"/>
      <c r="M17" s="2713"/>
      <c r="N17" s="2713"/>
      <c r="O17" s="2713"/>
      <c r="P17" s="3703"/>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961">
        <f t="shared" si="5"/>
        <v>1</v>
      </c>
    </row>
    <row r="18" spans="1:29" ht="15">
      <c r="A18" s="378"/>
      <c r="B18" s="579"/>
      <c r="C18" s="1903" t="s">
        <v>3412</v>
      </c>
      <c r="D18" s="400"/>
      <c r="E18" s="1903" t="s">
        <v>3412</v>
      </c>
      <c r="F18" s="400"/>
      <c r="G18" s="1903" t="s">
        <v>3412</v>
      </c>
      <c r="H18" s="398"/>
      <c r="I18" s="1903" t="s">
        <v>3412</v>
      </c>
      <c r="J18" s="398"/>
      <c r="K18" s="563"/>
      <c r="L18" s="2719"/>
      <c r="M18" s="2713"/>
      <c r="N18" s="2713"/>
      <c r="O18" s="2713"/>
      <c r="P18" s="3703"/>
      <c r="Q18" s="1351"/>
      <c r="R18" s="704"/>
      <c r="S18" s="705"/>
      <c r="T18" s="704"/>
      <c r="U18" s="705"/>
      <c r="V18" s="704"/>
      <c r="W18" s="705"/>
      <c r="X18" s="1354"/>
      <c r="Y18" s="3705"/>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9"/>
      <c r="M19" s="2713"/>
      <c r="N19" s="2713"/>
      <c r="O19" s="2713"/>
      <c r="P19" s="3703"/>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961">
        <f t="shared" si="5"/>
        <v>1</v>
      </c>
    </row>
    <row r="20" spans="1:29" ht="15">
      <c r="A20" s="378"/>
      <c r="B20" s="579"/>
      <c r="C20" s="1903" t="s">
        <v>3412</v>
      </c>
      <c r="D20" s="398"/>
      <c r="E20" s="1903" t="s">
        <v>3412</v>
      </c>
      <c r="F20" s="398"/>
      <c r="G20" s="1903" t="s">
        <v>3412</v>
      </c>
      <c r="H20" s="398"/>
      <c r="I20" s="1903" t="s">
        <v>3412</v>
      </c>
      <c r="J20" s="398"/>
      <c r="K20" s="563"/>
      <c r="L20" s="2719"/>
      <c r="M20" s="2713"/>
      <c r="N20" s="2713"/>
      <c r="O20" s="2713"/>
      <c r="P20" s="3703"/>
      <c r="Q20" s="1351"/>
      <c r="R20" s="704"/>
      <c r="S20" s="705"/>
      <c r="T20" s="704"/>
      <c r="U20" s="705"/>
      <c r="V20" s="704"/>
      <c r="W20" s="705"/>
      <c r="X20" s="1354"/>
      <c r="Y20" s="3705"/>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9"/>
      <c r="M21" s="2713"/>
      <c r="N21" s="2713"/>
      <c r="O21" s="2713"/>
      <c r="P21" s="3703"/>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961">
        <f t="shared" ref="AC21" si="10">D21/J21</f>
        <v>1</v>
      </c>
    </row>
    <row r="22" spans="1:29" ht="15">
      <c r="A22" s="378"/>
      <c r="B22" s="580"/>
      <c r="C22" s="1963" t="s">
        <v>3474</v>
      </c>
      <c r="D22" s="398"/>
      <c r="E22" s="1963" t="s">
        <v>3474</v>
      </c>
      <c r="F22" s="398"/>
      <c r="G22" s="1963" t="s">
        <v>3474</v>
      </c>
      <c r="H22" s="398"/>
      <c r="I22" s="1963" t="s">
        <v>3474</v>
      </c>
      <c r="J22" s="398"/>
      <c r="K22" s="1129"/>
      <c r="L22" s="2719"/>
      <c r="M22" s="2713"/>
      <c r="N22" s="2713"/>
      <c r="O22" s="2713"/>
      <c r="P22" s="3703"/>
      <c r="Q22" s="1351"/>
      <c r="R22" s="704"/>
      <c r="S22" s="705"/>
      <c r="T22" s="704"/>
      <c r="U22" s="705"/>
      <c r="V22" s="704"/>
      <c r="W22" s="705"/>
      <c r="X22" s="1354"/>
      <c r="Y22" s="3705"/>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9"/>
      <c r="M23" s="2713"/>
      <c r="N23" s="2713"/>
      <c r="O23" s="2713"/>
      <c r="P23" s="3703"/>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961">
        <f t="shared" si="5"/>
        <v>1</v>
      </c>
    </row>
    <row r="24" spans="1:29" ht="15">
      <c r="A24" s="378"/>
      <c r="B24" s="580"/>
      <c r="C24" s="1903" t="s">
        <v>3412</v>
      </c>
      <c r="D24" s="398"/>
      <c r="E24" s="1903" t="s">
        <v>3412</v>
      </c>
      <c r="F24" s="398"/>
      <c r="G24" s="1903" t="s">
        <v>3412</v>
      </c>
      <c r="H24" s="398"/>
      <c r="I24" s="1903" t="s">
        <v>3412</v>
      </c>
      <c r="J24" s="398"/>
      <c r="K24" s="563"/>
      <c r="L24" s="2719"/>
      <c r="M24" s="2713"/>
      <c r="N24" s="2713"/>
      <c r="O24" s="2713"/>
      <c r="P24" s="3703"/>
      <c r="Q24" s="1351"/>
      <c r="R24" s="704"/>
      <c r="S24" s="705"/>
      <c r="T24" s="704"/>
      <c r="U24" s="705"/>
      <c r="V24" s="704"/>
      <c r="W24" s="705"/>
      <c r="X24" s="1354"/>
      <c r="Y24" s="3705"/>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19"/>
      <c r="M25" s="2713"/>
      <c r="N25" s="2713"/>
      <c r="O25" s="2713"/>
      <c r="P25" s="3703"/>
      <c r="Q25" s="1351" t="str">
        <f>B25</f>
        <v>毗邻道路的类型与等级</v>
      </c>
      <c r="R25" s="704" t="s">
        <v>14</v>
      </c>
      <c r="S25" s="705">
        <f>F25</f>
        <v>100</v>
      </c>
      <c r="T25" s="704" t="s">
        <v>14</v>
      </c>
      <c r="U25" s="705">
        <f>H25</f>
        <v>100</v>
      </c>
      <c r="V25" s="704" t="s">
        <v>14</v>
      </c>
      <c r="W25" s="705">
        <f>J25</f>
        <v>100</v>
      </c>
      <c r="X25" s="1354"/>
      <c r="Y25" s="370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9"/>
      <c r="M26" s="2713"/>
      <c r="N26" s="2713"/>
      <c r="O26" s="2713"/>
      <c r="P26" s="3703"/>
      <c r="Q26" s="1351"/>
      <c r="R26" s="704"/>
      <c r="S26" s="705"/>
      <c r="T26" s="704"/>
      <c r="U26" s="705"/>
      <c r="V26" s="704"/>
      <c r="W26" s="705"/>
      <c r="X26" s="1354"/>
      <c r="Y26" s="3705"/>
      <c r="Z26" s="1355"/>
      <c r="AA26" s="1352">
        <v>1</v>
      </c>
      <c r="AB26" s="1352">
        <v>1</v>
      </c>
      <c r="AC26" s="1961">
        <v>1</v>
      </c>
    </row>
    <row r="27" spans="1:29" ht="15">
      <c r="A27" s="378"/>
      <c r="B27" s="579" t="s">
        <v>1783</v>
      </c>
      <c r="C27" s="581" t="s">
        <v>3499</v>
      </c>
      <c r="D27" s="385">
        <v>100</v>
      </c>
      <c r="E27" s="581" t="s">
        <v>3501</v>
      </c>
      <c r="F27" s="385">
        <f>SUMIF(89:89,E27,90:90)-SUMIF(89:89,C27,90:90)+100</f>
        <v>98</v>
      </c>
      <c r="G27" s="581" t="s">
        <v>3501</v>
      </c>
      <c r="H27" s="385">
        <f>SUMIF(89:89,G27,90:90)-SUMIF(89:89,C27,90:90)+100</f>
        <v>98</v>
      </c>
      <c r="I27" s="581" t="s">
        <v>3499</v>
      </c>
      <c r="J27" s="385">
        <f>SUMIF(89:89,I27,90:90)-SUMIF(89:89,C27,90:90)+100</f>
        <v>100</v>
      </c>
      <c r="K27" s="560">
        <v>2</v>
      </c>
      <c r="L27" s="2719"/>
      <c r="M27" s="2713"/>
      <c r="N27" s="2713"/>
      <c r="O27" s="2713"/>
      <c r="P27" s="3703"/>
      <c r="Q27" s="1351" t="str">
        <f t="shared" ref="Q27:Q47" si="11">B27</f>
        <v>楼层</v>
      </c>
      <c r="R27" s="704" t="s">
        <v>14</v>
      </c>
      <c r="S27" s="705">
        <f>F27</f>
        <v>98</v>
      </c>
      <c r="T27" s="704" t="s">
        <v>14</v>
      </c>
      <c r="U27" s="705">
        <f>H27</f>
        <v>98</v>
      </c>
      <c r="V27" s="704" t="s">
        <v>14</v>
      </c>
      <c r="W27" s="705">
        <f>J27</f>
        <v>100</v>
      </c>
      <c r="X27" s="1354"/>
      <c r="Y27" s="3705"/>
      <c r="Z27" s="1355" t="str">
        <f>Q27</f>
        <v>楼层</v>
      </c>
      <c r="AA27" s="1352">
        <f t="shared" si="3"/>
        <v>1.0204081632653061</v>
      </c>
      <c r="AB27" s="1352">
        <f t="shared" si="4"/>
        <v>1.0204081632653061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4"/>
      <c r="M28" s="2715"/>
      <c r="N28" s="2715"/>
      <c r="O28" s="2715"/>
      <c r="P28" s="3703"/>
      <c r="Q28" s="1342" t="str">
        <f t="shared" si="11"/>
        <v>朝向</v>
      </c>
      <c r="R28" s="700" t="s">
        <v>14</v>
      </c>
      <c r="S28" s="701">
        <f>F28</f>
        <v>100</v>
      </c>
      <c r="T28" s="700" t="s">
        <v>14</v>
      </c>
      <c r="U28" s="701">
        <f>H28</f>
        <v>100</v>
      </c>
      <c r="V28" s="700" t="s">
        <v>14</v>
      </c>
      <c r="W28" s="701">
        <f>J28</f>
        <v>100</v>
      </c>
      <c r="X28" s="702"/>
      <c r="Y28" s="3705"/>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9"/>
      <c r="M29" s="2713"/>
      <c r="N29" s="2713"/>
      <c r="O29" s="2713"/>
      <c r="P29" s="3703"/>
      <c r="Q29" s="1351">
        <f t="shared" si="11"/>
        <v>111</v>
      </c>
      <c r="R29" s="704" t="s">
        <v>14</v>
      </c>
      <c r="S29" s="705">
        <f t="shared" ref="S29:S47" si="12">F29</f>
        <v>100</v>
      </c>
      <c r="T29" s="704" t="s">
        <v>14</v>
      </c>
      <c r="U29" s="705">
        <f t="shared" ref="U29:U47" si="13">H29</f>
        <v>100</v>
      </c>
      <c r="V29" s="704" t="s">
        <v>14</v>
      </c>
      <c r="W29" s="705">
        <f t="shared" ref="W29:W47" si="14">J29</f>
        <v>100</v>
      </c>
      <c r="X29" s="1354"/>
      <c r="Y29" s="370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9"/>
      <c r="M30" s="2713"/>
      <c r="N30" s="2713"/>
      <c r="O30" s="2713"/>
      <c r="P30" s="3703"/>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9"/>
      <c r="M31" s="2713"/>
      <c r="N31" s="2713"/>
      <c r="O31" s="2713"/>
      <c r="P31" s="3703"/>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9"/>
      <c r="M32" s="2713"/>
      <c r="N32" s="2713"/>
      <c r="O32" s="2713"/>
      <c r="P32" s="3703"/>
      <c r="Q32" s="1351">
        <f t="shared" si="11"/>
        <v>111</v>
      </c>
      <c r="R32" s="704" t="s">
        <v>14</v>
      </c>
      <c r="S32" s="705">
        <f t="shared" si="12"/>
        <v>100</v>
      </c>
      <c r="T32" s="704" t="s">
        <v>14</v>
      </c>
      <c r="U32" s="705">
        <f t="shared" si="13"/>
        <v>100</v>
      </c>
      <c r="V32" s="704" t="s">
        <v>14</v>
      </c>
      <c r="W32" s="705">
        <f t="shared" si="14"/>
        <v>100</v>
      </c>
      <c r="X32" s="1354"/>
      <c r="Y32" s="3705"/>
      <c r="Z32" s="1355">
        <f t="shared" si="15"/>
        <v>111</v>
      </c>
      <c r="AA32" s="1352">
        <f t="shared" si="3"/>
        <v>1</v>
      </c>
      <c r="AB32" s="1352">
        <f t="shared" si="4"/>
        <v>1</v>
      </c>
      <c r="AC32" s="1961">
        <f t="shared" si="5"/>
        <v>1</v>
      </c>
    </row>
    <row r="33" spans="1:29" ht="15">
      <c r="A33" s="390" t="s">
        <v>1694</v>
      </c>
      <c r="B33" s="63" t="s">
        <v>1817</v>
      </c>
      <c r="C33" s="1966" t="s">
        <v>3491</v>
      </c>
      <c r="D33" s="417">
        <v>100</v>
      </c>
      <c r="E33" s="1966" t="s">
        <v>3491</v>
      </c>
      <c r="F33" s="411">
        <f>SUMIF(101:101,E33,102:102)-SUMIF(101:101,C33,102:102)+100</f>
        <v>100</v>
      </c>
      <c r="G33" s="1966" t="s">
        <v>3491</v>
      </c>
      <c r="H33" s="385">
        <f>SUMIF(101:101,G33,102:102)-SUMIF(101:101,C33,102:102)+100</f>
        <v>100</v>
      </c>
      <c r="I33" s="1966" t="s">
        <v>3491</v>
      </c>
      <c r="J33" s="417">
        <f>SUMIF(101:101,I33,102:102)-SUMIF(101:101,C33,102:102)+100</f>
        <v>100</v>
      </c>
      <c r="K33" s="560">
        <v>5</v>
      </c>
      <c r="L33" s="2719"/>
      <c r="M33" s="2713"/>
      <c r="N33" s="2713"/>
      <c r="O33" s="2713"/>
      <c r="P33" s="3706" t="s">
        <v>1696</v>
      </c>
      <c r="Q33" s="1351" t="str">
        <f t="shared" si="11"/>
        <v>建筑类型</v>
      </c>
      <c r="R33" s="704" t="s">
        <v>14</v>
      </c>
      <c r="S33" s="705">
        <f t="shared" si="12"/>
        <v>100</v>
      </c>
      <c r="T33" s="704" t="s">
        <v>14</v>
      </c>
      <c r="U33" s="705">
        <f t="shared" si="13"/>
        <v>100</v>
      </c>
      <c r="V33" s="704" t="s">
        <v>14</v>
      </c>
      <c r="W33" s="705">
        <f t="shared" si="14"/>
        <v>100</v>
      </c>
      <c r="X33" s="1354"/>
      <c r="Y33" s="3709" t="s">
        <v>1696</v>
      </c>
      <c r="Z33" s="1355" t="str">
        <f t="shared" si="15"/>
        <v>建筑类型</v>
      </c>
      <c r="AA33" s="1352">
        <f t="shared" si="3"/>
        <v>1</v>
      </c>
      <c r="AB33" s="1352">
        <f t="shared" si="4"/>
        <v>1</v>
      </c>
      <c r="AC33" s="1961">
        <f t="shared" si="5"/>
        <v>1</v>
      </c>
    </row>
    <row r="34" spans="1:29" s="421" customFormat="1" ht="15">
      <c r="A34" s="418"/>
      <c r="B34" s="374" t="s">
        <v>1697</v>
      </c>
      <c r="C34" s="419">
        <f>'数据-汇总表'!E3</f>
        <v>174.21</v>
      </c>
      <c r="D34" s="126">
        <v>100</v>
      </c>
      <c r="E34" s="419">
        <v>140</v>
      </c>
      <c r="F34" s="375">
        <f>LOOKUP(E34,104:104,105:105)-LOOKUP(C34,104:104,105:105)+100</f>
        <v>100</v>
      </c>
      <c r="G34" s="419">
        <v>282.58999999999997</v>
      </c>
      <c r="H34" s="126">
        <f>LOOKUP(G34,104:104,105:105)-LOOKUP(C34,104:104,105:105)+100</f>
        <v>99</v>
      </c>
      <c r="I34" s="419">
        <v>137</v>
      </c>
      <c r="J34" s="126">
        <f>LOOKUP(I34,104:104,105:105)-LOOKUP(C34,104:104,105:105)+100</f>
        <v>100</v>
      </c>
      <c r="K34" s="561"/>
      <c r="L34" s="2718"/>
      <c r="M34" s="2720"/>
      <c r="N34" s="2720"/>
      <c r="O34" s="2720"/>
      <c r="P34" s="3707"/>
      <c r="Q34" s="706" t="str">
        <f t="shared" si="11"/>
        <v>项目建筑规模</v>
      </c>
      <c r="R34" s="707" t="s">
        <v>14</v>
      </c>
      <c r="S34" s="708">
        <f t="shared" si="12"/>
        <v>100</v>
      </c>
      <c r="T34" s="707" t="s">
        <v>14</v>
      </c>
      <c r="U34" s="708">
        <f t="shared" si="13"/>
        <v>99</v>
      </c>
      <c r="V34" s="707" t="s">
        <v>14</v>
      </c>
      <c r="W34" s="708">
        <f t="shared" si="14"/>
        <v>100</v>
      </c>
      <c r="X34" s="709"/>
      <c r="Y34" s="3709"/>
      <c r="Z34" s="710" t="str">
        <f t="shared" si="15"/>
        <v>项目建筑规模</v>
      </c>
      <c r="AA34" s="1352">
        <f t="shared" si="3"/>
        <v>1</v>
      </c>
      <c r="AB34" s="1352">
        <f t="shared" si="4"/>
        <v>1.0101010101010102</v>
      </c>
      <c r="AC34" s="1961">
        <f t="shared" si="5"/>
        <v>1</v>
      </c>
    </row>
    <row r="35" spans="1:29" ht="15">
      <c r="A35" s="422"/>
      <c r="B35" s="374" t="s">
        <v>1698</v>
      </c>
      <c r="C35" s="410" t="s">
        <v>3437</v>
      </c>
      <c r="D35" s="385">
        <v>100</v>
      </c>
      <c r="E35" s="410" t="s">
        <v>3437</v>
      </c>
      <c r="F35" s="411">
        <f>SUMIF(106:106,E35,107:107)-SUMIF(106:106,C35,107:107)+100</f>
        <v>100</v>
      </c>
      <c r="G35" s="410" t="s">
        <v>3437</v>
      </c>
      <c r="H35" s="385">
        <f>SUMIF(106:106,G35,107:107)-SUMIF(106:106,C35,107:107)+100</f>
        <v>100</v>
      </c>
      <c r="I35" s="410" t="s">
        <v>3437</v>
      </c>
      <c r="J35" s="385">
        <f>SUMIF(106:106,I35,107:107)-SUMIF(106:106,C35,107:107)+100</f>
        <v>100</v>
      </c>
      <c r="K35" s="560">
        <v>1</v>
      </c>
      <c r="L35" s="2719"/>
      <c r="M35" s="2713"/>
      <c r="N35" s="2713"/>
      <c r="O35" s="2713"/>
      <c r="P35" s="3707"/>
      <c r="Q35" s="1351" t="str">
        <f t="shared" si="11"/>
        <v>建筑结构</v>
      </c>
      <c r="R35" s="704" t="s">
        <v>14</v>
      </c>
      <c r="S35" s="705">
        <f t="shared" si="12"/>
        <v>100</v>
      </c>
      <c r="T35" s="704" t="s">
        <v>14</v>
      </c>
      <c r="U35" s="705">
        <f t="shared" si="13"/>
        <v>100</v>
      </c>
      <c r="V35" s="704" t="s">
        <v>14</v>
      </c>
      <c r="W35" s="705">
        <f t="shared" si="14"/>
        <v>100</v>
      </c>
      <c r="X35" s="1354"/>
      <c r="Y35" s="3709"/>
      <c r="Z35" s="1355" t="str">
        <f t="shared" si="15"/>
        <v>建筑结构</v>
      </c>
      <c r="AA35" s="1352">
        <f t="shared" si="3"/>
        <v>1</v>
      </c>
      <c r="AB35" s="1352">
        <f t="shared" si="4"/>
        <v>1</v>
      </c>
      <c r="AC35" s="1961">
        <f t="shared" si="5"/>
        <v>1</v>
      </c>
    </row>
    <row r="36" spans="1:29" ht="15">
      <c r="A36" s="422"/>
      <c r="B36" s="374" t="s">
        <v>1785</v>
      </c>
      <c r="C36" s="410" t="s">
        <v>3465</v>
      </c>
      <c r="D36" s="385">
        <v>100</v>
      </c>
      <c r="E36" s="410" t="s">
        <v>3465</v>
      </c>
      <c r="F36" s="411">
        <f>SUMIF(108:108,E36,109:109)-SUMIF(108:108,C36,109:109)+100</f>
        <v>100</v>
      </c>
      <c r="G36" s="410" t="s">
        <v>3465</v>
      </c>
      <c r="H36" s="385">
        <f>SUMIF(108:108,G36,109:109)-SUMIF(108:108,C36,109:109)+100</f>
        <v>100</v>
      </c>
      <c r="I36" s="410" t="s">
        <v>3465</v>
      </c>
      <c r="J36" s="385">
        <f>SUMIF(108:108,I36,109:109)-SUMIF(108:108,C36,109:109)+100</f>
        <v>100</v>
      </c>
      <c r="K36" s="560">
        <v>2</v>
      </c>
      <c r="L36" s="2719"/>
      <c r="M36" s="2713"/>
      <c r="N36" s="2713"/>
      <c r="O36" s="2713"/>
      <c r="P36" s="3707"/>
      <c r="Q36" s="1351" t="str">
        <f t="shared" si="11"/>
        <v>公共部分装修</v>
      </c>
      <c r="R36" s="704" t="s">
        <v>14</v>
      </c>
      <c r="S36" s="705">
        <f t="shared" si="12"/>
        <v>100</v>
      </c>
      <c r="T36" s="704" t="s">
        <v>14</v>
      </c>
      <c r="U36" s="705">
        <f t="shared" si="13"/>
        <v>100</v>
      </c>
      <c r="V36" s="704" t="s">
        <v>14</v>
      </c>
      <c r="W36" s="705">
        <f t="shared" si="14"/>
        <v>100</v>
      </c>
      <c r="X36" s="1354"/>
      <c r="Y36" s="3709"/>
      <c r="Z36" s="1355" t="str">
        <f t="shared" si="15"/>
        <v>公共部分装修</v>
      </c>
      <c r="AA36" s="1352">
        <f t="shared" si="3"/>
        <v>1</v>
      </c>
      <c r="AB36" s="1352">
        <f t="shared" si="4"/>
        <v>1</v>
      </c>
      <c r="AC36" s="1961">
        <f t="shared" si="5"/>
        <v>1</v>
      </c>
    </row>
    <row r="37" spans="1:29" ht="15">
      <c r="A37" s="422"/>
      <c r="B37" s="374" t="s">
        <v>1786</v>
      </c>
      <c r="C37" s="424">
        <f>'数据-取费表'!N6</f>
        <v>0.72</v>
      </c>
      <c r="D37" s="385">
        <v>100</v>
      </c>
      <c r="E37" s="424">
        <v>0.79</v>
      </c>
      <c r="F37" s="411">
        <f>LOOKUP(E37,111:111,112:112)-LOOKUP(C37,111:111,112:112)+100</f>
        <v>100</v>
      </c>
      <c r="G37" s="424">
        <v>0.84</v>
      </c>
      <c r="H37" s="411">
        <f>LOOKUP(G37,111:111,112:112)-LOOKUP(C37,111:111,112:112)+100</f>
        <v>102</v>
      </c>
      <c r="I37" s="424">
        <v>0.84</v>
      </c>
      <c r="J37" s="385">
        <f>LOOKUP(I37,111:111,112:112)-LOOKUP(C37,111:111,112:112)+100</f>
        <v>102</v>
      </c>
      <c r="K37" s="560">
        <v>2</v>
      </c>
      <c r="L37" s="2719"/>
      <c r="M37" s="2713"/>
      <c r="N37" s="2713"/>
      <c r="O37" s="2713"/>
      <c r="P37" s="3707"/>
      <c r="Q37" s="1351" t="str">
        <f t="shared" si="11"/>
        <v>成新度</v>
      </c>
      <c r="R37" s="704" t="s">
        <v>14</v>
      </c>
      <c r="S37" s="705">
        <f t="shared" si="12"/>
        <v>100</v>
      </c>
      <c r="T37" s="704" t="s">
        <v>14</v>
      </c>
      <c r="U37" s="705">
        <f t="shared" si="13"/>
        <v>102</v>
      </c>
      <c r="V37" s="704" t="s">
        <v>14</v>
      </c>
      <c r="W37" s="705">
        <f t="shared" si="14"/>
        <v>102</v>
      </c>
      <c r="X37" s="1354"/>
      <c r="Y37" s="3709"/>
      <c r="Z37" s="1355" t="str">
        <f t="shared" si="15"/>
        <v>成新度</v>
      </c>
      <c r="AA37" s="1352">
        <f t="shared" si="3"/>
        <v>1</v>
      </c>
      <c r="AB37" s="1352">
        <f t="shared" si="4"/>
        <v>0.98039215686274506</v>
      </c>
      <c r="AC37" s="1961">
        <f t="shared" si="5"/>
        <v>0.98039215686274506</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07"/>
      <c r="Q38" s="1342" t="str">
        <f t="shared" si="11"/>
        <v>写字楼等级</v>
      </c>
      <c r="R38" s="700" t="s">
        <v>14</v>
      </c>
      <c r="S38" s="701">
        <f t="shared" si="12"/>
        <v>100</v>
      </c>
      <c r="T38" s="700" t="s">
        <v>14</v>
      </c>
      <c r="U38" s="701">
        <f t="shared" si="13"/>
        <v>100</v>
      </c>
      <c r="V38" s="700" t="s">
        <v>14</v>
      </c>
      <c r="W38" s="701">
        <f t="shared" si="14"/>
        <v>100</v>
      </c>
      <c r="X38" s="702"/>
      <c r="Y38" s="3709"/>
      <c r="Z38" s="52" t="str">
        <f t="shared" si="15"/>
        <v>写字楼等级</v>
      </c>
      <c r="AA38" s="703">
        <f t="shared" si="3"/>
        <v>1</v>
      </c>
      <c r="AB38" s="703">
        <f t="shared" si="4"/>
        <v>1</v>
      </c>
      <c r="AC38" s="1958">
        <f t="shared" si="5"/>
        <v>1</v>
      </c>
    </row>
    <row r="39" spans="1:29" ht="15" hidden="1">
      <c r="A39" s="422"/>
      <c r="B39" s="374" t="s">
        <v>1819</v>
      </c>
      <c r="C39" s="410" t="s">
        <v>3481</v>
      </c>
      <c r="D39" s="385">
        <v>100</v>
      </c>
      <c r="E39" s="410" t="s">
        <v>3481</v>
      </c>
      <c r="F39" s="411">
        <f>SUMIF(115:115,E39,116:116)-SUMIF(115:115,C39,116:116)+100</f>
        <v>100</v>
      </c>
      <c r="G39" s="410" t="s">
        <v>3481</v>
      </c>
      <c r="H39" s="385">
        <f>SUMIF(115:115,G39,116:116)-SUMIF(115:115,C39,116:116)+100</f>
        <v>100</v>
      </c>
      <c r="I39" s="410" t="s">
        <v>3481</v>
      </c>
      <c r="J39" s="385">
        <f>SUMIF(115:115,I39,116:116)-SUMIF(115:115,C39,116:116)+100</f>
        <v>100</v>
      </c>
      <c r="K39" s="560">
        <v>0</v>
      </c>
      <c r="L39" s="2719"/>
      <c r="M39" s="2713"/>
      <c r="N39" s="2713"/>
      <c r="O39" s="2713"/>
      <c r="P39" s="3707" t="s">
        <v>1696</v>
      </c>
      <c r="Q39" s="1351" t="str">
        <f t="shared" si="11"/>
        <v>物业管理</v>
      </c>
      <c r="R39" s="704" t="s">
        <v>14</v>
      </c>
      <c r="S39" s="705">
        <f t="shared" si="12"/>
        <v>100</v>
      </c>
      <c r="T39" s="704" t="s">
        <v>14</v>
      </c>
      <c r="U39" s="705">
        <f t="shared" si="13"/>
        <v>100</v>
      </c>
      <c r="V39" s="704" t="s">
        <v>14</v>
      </c>
      <c r="W39" s="705">
        <f t="shared" si="14"/>
        <v>100</v>
      </c>
      <c r="X39" s="1354"/>
      <c r="Y39" s="3709" t="s">
        <v>1696</v>
      </c>
      <c r="Z39" s="1355" t="str">
        <f t="shared" si="15"/>
        <v>物业管理</v>
      </c>
      <c r="AA39" s="1352">
        <f t="shared" si="3"/>
        <v>1</v>
      </c>
      <c r="AB39" s="1352">
        <f t="shared" si="4"/>
        <v>1</v>
      </c>
      <c r="AC39" s="1961">
        <f t="shared" si="5"/>
        <v>1</v>
      </c>
    </row>
    <row r="40" spans="1:29" ht="15" hidden="1">
      <c r="A40" s="422"/>
      <c r="B40" s="374" t="s">
        <v>1787</v>
      </c>
      <c r="C40" s="410" t="s">
        <v>3476</v>
      </c>
      <c r="D40" s="385">
        <v>100</v>
      </c>
      <c r="E40" s="410" t="s">
        <v>3476</v>
      </c>
      <c r="F40" s="411">
        <f>SUMIF(117:117,E40,118:118)-SUMIF(117:117,C40,118:118)+100</f>
        <v>100</v>
      </c>
      <c r="G40" s="410" t="s">
        <v>3476</v>
      </c>
      <c r="H40" s="385">
        <f>SUMIF(117:117,G40,118:118)-SUMIF(117:117,C40,118:118)+100</f>
        <v>100</v>
      </c>
      <c r="I40" s="410" t="s">
        <v>3476</v>
      </c>
      <c r="J40" s="385">
        <f>SUMIF(117:117,I40,118:118)-SUMIF(117:117,C40,118:118)+100</f>
        <v>100</v>
      </c>
      <c r="K40" s="560">
        <v>0</v>
      </c>
      <c r="L40" s="2719"/>
      <c r="M40" s="2713"/>
      <c r="N40" s="2713"/>
      <c r="O40" s="2713"/>
      <c r="P40" s="3707"/>
      <c r="Q40" s="1351" t="str">
        <f t="shared" si="11"/>
        <v>市政基础设施</v>
      </c>
      <c r="R40" s="704" t="s">
        <v>14</v>
      </c>
      <c r="S40" s="705">
        <f t="shared" si="12"/>
        <v>100</v>
      </c>
      <c r="T40" s="704" t="s">
        <v>14</v>
      </c>
      <c r="U40" s="705">
        <f t="shared" si="13"/>
        <v>100</v>
      </c>
      <c r="V40" s="704" t="s">
        <v>14</v>
      </c>
      <c r="W40" s="705">
        <f t="shared" si="14"/>
        <v>100</v>
      </c>
      <c r="X40" s="1354"/>
      <c r="Y40" s="3709"/>
      <c r="Z40" s="1355" t="str">
        <f t="shared" si="15"/>
        <v>市政基础设施</v>
      </c>
      <c r="AA40" s="1352">
        <f t="shared" si="3"/>
        <v>1</v>
      </c>
      <c r="AB40" s="1352">
        <f t="shared" si="4"/>
        <v>1</v>
      </c>
      <c r="AC40" s="1961">
        <f t="shared" si="5"/>
        <v>1</v>
      </c>
    </row>
    <row r="41" spans="1:29" ht="15">
      <c r="A41" s="422"/>
      <c r="B41" s="374" t="s">
        <v>1789</v>
      </c>
      <c r="C41" s="564" t="s">
        <v>3472</v>
      </c>
      <c r="D41" s="385">
        <v>100</v>
      </c>
      <c r="E41" s="564" t="s">
        <v>3472</v>
      </c>
      <c r="F41" s="411">
        <f>SUMIF(119:119,E41,120:120)-SUMIF(119:119,C41,120:120)+100</f>
        <v>100</v>
      </c>
      <c r="G41" s="564" t="s">
        <v>3472</v>
      </c>
      <c r="H41" s="385">
        <f>SUMIF(119:119,G41,120:120)-SUMIF(119:119,C41,120:120)+100</f>
        <v>100</v>
      </c>
      <c r="I41" s="564" t="s">
        <v>3472</v>
      </c>
      <c r="J41" s="385">
        <f>SUMIF(119:119,I41,120:120)-SUMIF(119:119,C41,120:120)+100</f>
        <v>100</v>
      </c>
      <c r="K41" s="560">
        <v>2</v>
      </c>
      <c r="L41" s="2719"/>
      <c r="M41" s="2713"/>
      <c r="N41" s="2713"/>
      <c r="O41" s="2713"/>
      <c r="P41" s="3707"/>
      <c r="Q41" s="1351" t="str">
        <f t="shared" si="11"/>
        <v>层高</v>
      </c>
      <c r="R41" s="704" t="s">
        <v>14</v>
      </c>
      <c r="S41" s="705">
        <f t="shared" si="12"/>
        <v>100</v>
      </c>
      <c r="T41" s="704" t="s">
        <v>14</v>
      </c>
      <c r="U41" s="705">
        <f t="shared" si="13"/>
        <v>100</v>
      </c>
      <c r="V41" s="704" t="s">
        <v>14</v>
      </c>
      <c r="W41" s="705">
        <f t="shared" si="14"/>
        <v>100</v>
      </c>
      <c r="X41" s="1354"/>
      <c r="Y41" s="3709"/>
      <c r="Z41" s="1355" t="str">
        <f t="shared" si="15"/>
        <v>层高</v>
      </c>
      <c r="AA41" s="1352">
        <f t="shared" si="3"/>
        <v>1</v>
      </c>
      <c r="AB41" s="1352">
        <f t="shared" si="4"/>
        <v>1</v>
      </c>
      <c r="AC41" s="1961">
        <f t="shared" si="5"/>
        <v>1</v>
      </c>
    </row>
    <row r="42" spans="1:29" s="421" customFormat="1" ht="15" hidden="1">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07"/>
      <c r="Q42" s="706" t="str">
        <f t="shared" si="11"/>
        <v>单套建筑面积</v>
      </c>
      <c r="R42" s="707" t="s">
        <v>14</v>
      </c>
      <c r="S42" s="708">
        <f t="shared" si="12"/>
        <v>100</v>
      </c>
      <c r="T42" s="707" t="s">
        <v>14</v>
      </c>
      <c r="U42" s="708">
        <f t="shared" si="13"/>
        <v>100</v>
      </c>
      <c r="V42" s="707" t="s">
        <v>14</v>
      </c>
      <c r="W42" s="708">
        <f t="shared" si="14"/>
        <v>100</v>
      </c>
      <c r="X42" s="709"/>
      <c r="Y42" s="3709"/>
      <c r="Z42" s="710" t="str">
        <f t="shared" si="15"/>
        <v>单套建筑面积</v>
      </c>
      <c r="AA42" s="1352">
        <f t="shared" si="3"/>
        <v>1</v>
      </c>
      <c r="AB42" s="1352">
        <f t="shared" si="4"/>
        <v>1</v>
      </c>
      <c r="AC42" s="1961">
        <f t="shared" si="5"/>
        <v>1</v>
      </c>
    </row>
    <row r="43" spans="1:29" ht="15">
      <c r="A43" s="422"/>
      <c r="B43" s="374" t="s">
        <v>1792</v>
      </c>
      <c r="C43" s="410" t="s">
        <v>3467</v>
      </c>
      <c r="D43" s="385">
        <v>100</v>
      </c>
      <c r="E43" s="410" t="s">
        <v>3469</v>
      </c>
      <c r="F43" s="411">
        <f>SUMIF(123:123,E43,124:124)-SUMIF(123:123,C43,124:124)+100</f>
        <v>98</v>
      </c>
      <c r="G43" s="410" t="s">
        <v>3465</v>
      </c>
      <c r="H43" s="385">
        <f>SUMIF(123:123,G43,124:124)-SUMIF(123:123,C43,124:124)+100</f>
        <v>102</v>
      </c>
      <c r="I43" s="410" t="s">
        <v>3465</v>
      </c>
      <c r="J43" s="385">
        <f>SUMIF(123:123,I43,124:124)-SUMIF(123:123,C43,124:124)+100</f>
        <v>102</v>
      </c>
      <c r="K43" s="560">
        <v>2</v>
      </c>
      <c r="L43" s="2719"/>
      <c r="M43" s="2713"/>
      <c r="N43" s="2713"/>
      <c r="O43" s="2713"/>
      <c r="P43" s="3707"/>
      <c r="Q43" s="1351" t="str">
        <f t="shared" si="11"/>
        <v>内部装修</v>
      </c>
      <c r="R43" s="704" t="s">
        <v>14</v>
      </c>
      <c r="S43" s="705">
        <f t="shared" si="12"/>
        <v>98</v>
      </c>
      <c r="T43" s="704" t="s">
        <v>14</v>
      </c>
      <c r="U43" s="705">
        <f t="shared" si="13"/>
        <v>102</v>
      </c>
      <c r="V43" s="704" t="s">
        <v>14</v>
      </c>
      <c r="W43" s="705">
        <f t="shared" si="14"/>
        <v>102</v>
      </c>
      <c r="X43" s="1354"/>
      <c r="Y43" s="3709"/>
      <c r="Z43" s="1355" t="str">
        <f t="shared" si="15"/>
        <v>内部装修</v>
      </c>
      <c r="AA43" s="1352">
        <f t="shared" si="3"/>
        <v>1.0204081632653061</v>
      </c>
      <c r="AB43" s="1352">
        <f t="shared" si="4"/>
        <v>0.98039215686274506</v>
      </c>
      <c r="AC43" s="1961">
        <f t="shared" si="5"/>
        <v>0.98039215686274506</v>
      </c>
    </row>
    <row r="44" spans="1:29" ht="15">
      <c r="A44" s="422"/>
      <c r="B44" s="374" t="s">
        <v>1707</v>
      </c>
      <c r="C44" s="3495" t="s">
        <v>3411</v>
      </c>
      <c r="D44" s="385">
        <v>100</v>
      </c>
      <c r="E44" s="410" t="s">
        <v>3412</v>
      </c>
      <c r="F44" s="411">
        <f>SUMIF(125:125,E44,126:126)-SUMIF(125:125,C44,126:126)+100</f>
        <v>103</v>
      </c>
      <c r="G44" s="410" t="s">
        <v>3412</v>
      </c>
      <c r="H44" s="385">
        <f>SUMIF(125:125,G44,126:126)-SUMIF(125:125,C44,126:126)+100</f>
        <v>103</v>
      </c>
      <c r="I44" s="410" t="s">
        <v>3412</v>
      </c>
      <c r="J44" s="385">
        <f>SUMIF(125:125,I44,126:126)-SUMIF(125:125,C44,126:126)+100</f>
        <v>103</v>
      </c>
      <c r="K44" s="560">
        <v>3</v>
      </c>
      <c r="L44" s="2719"/>
      <c r="M44" s="2713"/>
      <c r="N44" s="2713"/>
      <c r="O44" s="2713"/>
      <c r="P44" s="3707"/>
      <c r="Q44" s="1351" t="str">
        <f t="shared" si="11"/>
        <v>内部装修维护情况</v>
      </c>
      <c r="R44" s="704" t="s">
        <v>14</v>
      </c>
      <c r="S44" s="705">
        <f t="shared" si="12"/>
        <v>103</v>
      </c>
      <c r="T44" s="704" t="s">
        <v>14</v>
      </c>
      <c r="U44" s="705">
        <f t="shared" si="13"/>
        <v>103</v>
      </c>
      <c r="V44" s="704" t="s">
        <v>14</v>
      </c>
      <c r="W44" s="705">
        <f t="shared" si="14"/>
        <v>103</v>
      </c>
      <c r="X44" s="1354"/>
      <c r="Y44" s="3709"/>
      <c r="Z44" s="1355" t="str">
        <f t="shared" si="15"/>
        <v>内部装修维护情况</v>
      </c>
      <c r="AA44" s="1352">
        <f t="shared" si="3"/>
        <v>0.970873786407767</v>
      </c>
      <c r="AB44" s="1352">
        <f t="shared" si="4"/>
        <v>0.970873786407767</v>
      </c>
      <c r="AC44" s="1961">
        <f t="shared" si="5"/>
        <v>0.970873786407767</v>
      </c>
    </row>
    <row r="45" spans="1:29" s="107" customFormat="1" ht="15" hidden="1">
      <c r="A45" s="423"/>
      <c r="B45" s="3476" t="s">
        <v>3488</v>
      </c>
      <c r="C45" s="419">
        <v>2002</v>
      </c>
      <c r="D45" s="126">
        <v>100</v>
      </c>
      <c r="E45" s="382" t="s">
        <v>3492</v>
      </c>
      <c r="F45" s="375">
        <f>SUMIF(127:127,E45,128:128)-SUMIF(127:127,C45,128:128)+100</f>
        <v>100</v>
      </c>
      <c r="G45" s="382" t="s">
        <v>3490</v>
      </c>
      <c r="H45" s="126">
        <f>SUMIF(127:127,G45,128:128)-SUMIF(127:127,C45,128:128)+100</f>
        <v>100</v>
      </c>
      <c r="I45" s="382">
        <v>2014</v>
      </c>
      <c r="J45" s="126">
        <f>SUMIF(127:127,I45,128:128)-SUMIF(127:127,C45,128:128)+100</f>
        <v>100</v>
      </c>
      <c r="K45" s="561"/>
      <c r="L45" s="2714"/>
      <c r="M45" s="2715"/>
      <c r="N45" s="2715"/>
      <c r="O45" s="2715"/>
      <c r="P45" s="3707"/>
      <c r="Q45" s="1342" t="str">
        <f t="shared" si="11"/>
        <v>建成年代</v>
      </c>
      <c r="R45" s="700" t="s">
        <v>14</v>
      </c>
      <c r="S45" s="701">
        <f t="shared" si="12"/>
        <v>100</v>
      </c>
      <c r="T45" s="700" t="s">
        <v>14</v>
      </c>
      <c r="U45" s="701">
        <f t="shared" si="13"/>
        <v>100</v>
      </c>
      <c r="V45" s="700" t="s">
        <v>14</v>
      </c>
      <c r="W45" s="701">
        <f t="shared" si="14"/>
        <v>100</v>
      </c>
      <c r="X45" s="702"/>
      <c r="Y45" s="3709"/>
      <c r="Z45" s="52" t="str">
        <f t="shared" si="15"/>
        <v>建成年代</v>
      </c>
      <c r="AA45" s="703">
        <f t="shared" si="3"/>
        <v>1</v>
      </c>
      <c r="AB45" s="703">
        <f t="shared" si="4"/>
        <v>1</v>
      </c>
      <c r="AC45" s="1958">
        <f t="shared" si="5"/>
        <v>1</v>
      </c>
    </row>
    <row r="46" spans="1:29" ht="15" hidden="1">
      <c r="A46" s="422"/>
      <c r="B46" s="3476" t="s">
        <v>3497</v>
      </c>
      <c r="C46" s="3494" t="s">
        <v>3495</v>
      </c>
      <c r="D46" s="385">
        <v>100</v>
      </c>
      <c r="E46" s="3492" t="s">
        <v>3496</v>
      </c>
      <c r="F46" s="411">
        <f>SUMIF(129:129,E46,130:130)-SUMIF(129:129,C46,130:130)+100</f>
        <v>100</v>
      </c>
      <c r="G46" s="3492" t="s">
        <v>3496</v>
      </c>
      <c r="H46" s="385">
        <f>SUMIF(129:129,G46,130:130)-SUMIF(129:129,C46,130:130)+100</f>
        <v>100</v>
      </c>
      <c r="I46" s="3492" t="s">
        <v>3496</v>
      </c>
      <c r="J46" s="385">
        <f>SUMIF(129:129,I46,130:130)-SUMIF(129:129,C46,130:130)+100</f>
        <v>100</v>
      </c>
      <c r="K46" s="561"/>
      <c r="L46" s="2719"/>
      <c r="M46" s="2713"/>
      <c r="N46" s="2713"/>
      <c r="O46" s="2713"/>
      <c r="P46" s="3707"/>
      <c r="Q46" s="1351" t="str">
        <f t="shared" si="11"/>
        <v>户型</v>
      </c>
      <c r="R46" s="704" t="s">
        <v>14</v>
      </c>
      <c r="S46" s="705">
        <f t="shared" si="12"/>
        <v>100</v>
      </c>
      <c r="T46" s="704" t="s">
        <v>14</v>
      </c>
      <c r="U46" s="705">
        <f t="shared" si="13"/>
        <v>100</v>
      </c>
      <c r="V46" s="704" t="s">
        <v>14</v>
      </c>
      <c r="W46" s="705">
        <f t="shared" si="14"/>
        <v>100</v>
      </c>
      <c r="X46" s="1354"/>
      <c r="Y46" s="3709"/>
      <c r="Z46" s="1355" t="str">
        <f t="shared" si="15"/>
        <v>户型</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08"/>
      <c r="Q47" s="1351">
        <f t="shared" si="11"/>
        <v>111</v>
      </c>
      <c r="R47" s="704" t="s">
        <v>14</v>
      </c>
      <c r="S47" s="705">
        <f t="shared" si="12"/>
        <v>100</v>
      </c>
      <c r="T47" s="704" t="s">
        <v>14</v>
      </c>
      <c r="U47" s="705">
        <f t="shared" si="13"/>
        <v>100</v>
      </c>
      <c r="V47" s="704" t="s">
        <v>14</v>
      </c>
      <c r="W47" s="705">
        <f t="shared" si="14"/>
        <v>100</v>
      </c>
      <c r="X47" s="1354"/>
      <c r="Y47" s="3710"/>
      <c r="Z47" s="1355">
        <f t="shared" si="15"/>
        <v>111</v>
      </c>
      <c r="AA47" s="1352">
        <f t="shared" si="3"/>
        <v>1</v>
      </c>
      <c r="AB47" s="1352">
        <f t="shared" si="4"/>
        <v>1</v>
      </c>
      <c r="AC47" s="1961">
        <f t="shared" si="5"/>
        <v>1</v>
      </c>
    </row>
    <row r="48" spans="1:29" ht="15">
      <c r="A48" s="429" t="s">
        <v>1708</v>
      </c>
      <c r="B48" s="430"/>
      <c r="C48" s="1153" t="s">
        <v>0</v>
      </c>
      <c r="D48" s="1154"/>
      <c r="E48" s="1155">
        <v>30000</v>
      </c>
      <c r="F48" s="1156"/>
      <c r="G48" s="1157">
        <v>34857</v>
      </c>
      <c r="H48" s="1158"/>
      <c r="I48" s="1155">
        <v>35402</v>
      </c>
      <c r="J48" s="435"/>
      <c r="K48" s="713"/>
      <c r="L48" s="2721"/>
      <c r="M48" s="2713"/>
      <c r="N48" s="2713"/>
      <c r="O48" s="2713"/>
      <c r="P48" s="3712" t="str">
        <f>A48</f>
        <v>成交单价（元/平方米）</v>
      </c>
      <c r="Q48" s="3697"/>
      <c r="R48" s="3698">
        <f>E48</f>
        <v>30000</v>
      </c>
      <c r="S48" s="3698"/>
      <c r="T48" s="3698">
        <f>G48</f>
        <v>34857</v>
      </c>
      <c r="U48" s="3698"/>
      <c r="V48" s="3698">
        <f>I48</f>
        <v>35402</v>
      </c>
      <c r="W48" s="3698"/>
      <c r="X48" s="396"/>
      <c r="Y48" s="711"/>
      <c r="Z48" s="396"/>
      <c r="AA48" s="396"/>
      <c r="AB48" s="396"/>
      <c r="AC48" s="577"/>
    </row>
    <row r="49" spans="1:29" ht="15.75" thickBot="1">
      <c r="A49" s="436" t="s">
        <v>1793</v>
      </c>
      <c r="B49" s="437"/>
      <c r="C49" s="1159">
        <f>R50</f>
        <v>30759</v>
      </c>
      <c r="D49" s="2316" t="s">
        <v>2138</v>
      </c>
      <c r="E49" s="1160">
        <f>R49</f>
        <v>28883</v>
      </c>
      <c r="F49" s="2317"/>
      <c r="G49" s="1159">
        <f>T49</f>
        <v>31930</v>
      </c>
      <c r="H49" s="2317"/>
      <c r="I49" s="1160">
        <f>V49</f>
        <v>31463</v>
      </c>
      <c r="J49" s="2317"/>
      <c r="K49" s="2319">
        <f>F49+H49+J49</f>
        <v>0</v>
      </c>
      <c r="L49" s="2721"/>
      <c r="M49" s="2713"/>
      <c r="N49" s="2713"/>
      <c r="O49" s="2713"/>
      <c r="P49" s="3712" t="str">
        <f>A49</f>
        <v>比较价值（元/平方米）</v>
      </c>
      <c r="Q49" s="3697"/>
      <c r="R49" s="3698">
        <f>IF(F1="售价",ROUND(PRODUCT(R48,AA7:AA47),0),ROUND(PRODUCT(R48,AA7:AA47),1))</f>
        <v>28883</v>
      </c>
      <c r="S49" s="3698"/>
      <c r="T49" s="3698">
        <f>IF(F1="售价",ROUND(PRODUCT(T48,AB7:AB47),0),ROUND(PRODUCT(T48,AB7:AB47),1))</f>
        <v>31930</v>
      </c>
      <c r="U49" s="3698"/>
      <c r="V49" s="3698">
        <f>IF(F1="售价",ROUND(PRODUCT(V48,AC7:AC47),0),ROUND(PRODUCT(V48,AC7:AC47),1))</f>
        <v>31463</v>
      </c>
      <c r="W49" s="3698"/>
      <c r="X49" s="396"/>
      <c r="Y49" s="396"/>
      <c r="Z49" s="396"/>
      <c r="AA49" s="396"/>
      <c r="AB49" s="396"/>
      <c r="AC49" s="577"/>
    </row>
    <row r="50" spans="1:29" ht="15.75" thickBot="1">
      <c r="A50" s="440" t="s">
        <v>1794</v>
      </c>
      <c r="B50" s="441"/>
      <c r="C50" s="1162">
        <f>R50</f>
        <v>30759</v>
      </c>
      <c r="D50" s="1162"/>
      <c r="E50" s="1162"/>
      <c r="F50" s="1162"/>
      <c r="G50" s="1162"/>
      <c r="H50" s="1162"/>
      <c r="I50" s="1162"/>
      <c r="J50" s="442"/>
      <c r="K50" s="714"/>
      <c r="L50" s="2721"/>
      <c r="M50" s="2713"/>
      <c r="N50" s="2713"/>
      <c r="O50" s="2713"/>
      <c r="P50" s="3767" t="str">
        <f>A50</f>
        <v>估价对象XX用房的比较价值（楼面单价，元/平方米）</v>
      </c>
      <c r="Q50" s="3768"/>
      <c r="R50" s="3769">
        <f>IF(F1="售价",ROUND(IF(D49="简单平均",AVERAGE(R49:V49),R49*F49+T49*H49+V49*J49),0),ROUND(IF(D49="简单平均",AVERAGE(R49:V49),R49*F49+T49*H49+V49*J49),1))</f>
        <v>30759</v>
      </c>
      <c r="S50" s="3769"/>
      <c r="T50" s="3769"/>
      <c r="U50" s="3769"/>
      <c r="V50" s="3769"/>
      <c r="W50" s="376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f>IF(E48&lt;E49,E49/E48-1,E48/E49-1)</f>
        <v>3.8673268012325623E-2</v>
      </c>
      <c r="F53" s="448" t="str">
        <f>IF(OR(E53&gt;=0.3,E53&lt;=-0.3),"超过30%","")</f>
        <v/>
      </c>
      <c r="G53" s="447">
        <f>IF(G48&lt;G49,G49/G48-1,G48/G49-1)</f>
        <v>9.1669276542436506E-2</v>
      </c>
      <c r="H53" s="448" t="str">
        <f>IF(OR(G53&gt;=0.3,G53&lt;=-0.3),"超过30%","")</f>
        <v/>
      </c>
      <c r="I53" s="447">
        <f>IF(I48&lt;I49,I49/I48-1,I48/I49-1)</f>
        <v>0.12519467310809529</v>
      </c>
      <c r="J53" s="448"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f>IF(E49&lt;G49,G49/E49-1,E49/G49-1)</f>
        <v>0.10549458158778524</v>
      </c>
      <c r="F54" s="448" t="str">
        <f>IF(OR(E54&gt;=0.2,E54&lt;=-0.2),"超过20%","")</f>
        <v/>
      </c>
      <c r="G54" s="447">
        <f>IF(G49&lt;I49,I49/G49-1,G49/I49-1)</f>
        <v>1.4842831262117384E-2</v>
      </c>
      <c r="H54" s="448" t="str">
        <f>IF(OR(G54&gt;=0.2,G54&lt;=-0.2),"超过20%","")</f>
        <v/>
      </c>
      <c r="I54" s="447">
        <f>IF(I49&lt;E49,E49/I49-1,I49/E49-1)</f>
        <v>8.9325901049059908E-2</v>
      </c>
      <c r="J54" s="448"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6"/>
      <c r="Q59" s="2738"/>
      <c r="R59" s="2738"/>
      <c r="S59" s="2738"/>
      <c r="T59" s="2738"/>
      <c r="U59" s="2738"/>
      <c r="V59" s="2738"/>
      <c r="W59" s="2738"/>
      <c r="X59" s="2738"/>
      <c r="Y59" s="2738"/>
      <c r="Z59" s="2738"/>
      <c r="AA59" s="2738"/>
      <c r="AB59" s="2738"/>
      <c r="AC59" s="2738"/>
    </row>
    <row r="60" spans="1:29" s="107" customFormat="1" ht="15">
      <c r="A60" s="457"/>
      <c r="B60" s="458"/>
      <c r="C60" s="1182">
        <v>100</v>
      </c>
      <c r="D60" s="460"/>
      <c r="E60" s="460"/>
      <c r="F60" s="460"/>
      <c r="G60" s="460"/>
      <c r="H60" s="460"/>
      <c r="I60" s="460"/>
      <c r="J60" s="460"/>
      <c r="K60" s="460"/>
      <c r="L60" s="460"/>
      <c r="M60" s="461"/>
      <c r="N60" s="460"/>
      <c r="O60" s="461"/>
      <c r="P60" s="2757"/>
      <c r="Q60" s="2659"/>
      <c r="R60" s="2659"/>
      <c r="S60" s="2659"/>
      <c r="T60" s="2659"/>
      <c r="U60" s="2659"/>
      <c r="V60" s="2659"/>
      <c r="W60" s="2659"/>
      <c r="X60" s="2659"/>
      <c r="Y60" s="2659"/>
      <c r="Z60" s="2659"/>
      <c r="AA60" s="2659"/>
      <c r="AB60" s="2659"/>
      <c r="AC60" s="2659"/>
    </row>
    <row r="61" spans="1:29" s="107" customFormat="1" ht="15.75" thickBot="1">
      <c r="A61" s="463" t="s">
        <v>1716</v>
      </c>
      <c r="B61" s="464"/>
      <c r="C61" s="465"/>
      <c r="D61" s="466"/>
      <c r="E61" s="466"/>
      <c r="F61" s="466"/>
      <c r="G61" s="466"/>
      <c r="H61" s="466"/>
      <c r="I61" s="466"/>
      <c r="J61" s="466"/>
      <c r="K61" s="466"/>
      <c r="L61" s="466"/>
      <c r="M61" s="467"/>
      <c r="N61" s="466"/>
      <c r="O61" s="467"/>
      <c r="P61" s="2757"/>
      <c r="Q61" s="2736"/>
      <c r="R61" s="2659"/>
      <c r="S61" s="2659"/>
      <c r="T61" s="2659"/>
      <c r="U61" s="2659"/>
      <c r="V61" s="2659"/>
      <c r="W61" s="2659"/>
      <c r="X61" s="2659"/>
      <c r="Y61" s="2659"/>
      <c r="Z61" s="2659"/>
      <c r="AA61" s="2659"/>
      <c r="AB61" s="2659"/>
      <c r="AC61" s="2659"/>
    </row>
    <row r="62" spans="1:29" s="107" customFormat="1" ht="15">
      <c r="A62" s="469" t="s">
        <v>1681</v>
      </c>
      <c r="B62" s="458"/>
      <c r="C62" s="470" t="s">
        <v>1776</v>
      </c>
      <c r="D62" s="3477" t="s">
        <v>3453</v>
      </c>
      <c r="E62" s="471"/>
      <c r="F62" s="471"/>
      <c r="G62" s="471"/>
      <c r="H62" s="471"/>
      <c r="I62" s="471"/>
      <c r="J62" s="471"/>
      <c r="K62" s="471"/>
      <c r="L62" s="472"/>
      <c r="M62" s="473"/>
      <c r="N62" s="2749"/>
      <c r="O62" s="2749"/>
      <c r="P62" s="2758"/>
      <c r="Q62" s="2736"/>
      <c r="R62" s="2659"/>
      <c r="S62" s="2659"/>
      <c r="T62" s="2659"/>
      <c r="U62" s="2659"/>
      <c r="V62" s="2659"/>
      <c r="W62" s="2659"/>
      <c r="X62" s="2659"/>
      <c r="Y62" s="2659"/>
      <c r="Z62" s="2659"/>
      <c r="AA62" s="2659"/>
      <c r="AB62" s="2659"/>
      <c r="AC62" s="2659"/>
    </row>
    <row r="63" spans="1:29" s="107" customFormat="1" ht="15.75" thickBot="1">
      <c r="A63" s="469"/>
      <c r="B63" s="458"/>
      <c r="C63" s="459">
        <v>100</v>
      </c>
      <c r="D63" s="460">
        <v>105</v>
      </c>
      <c r="E63" s="460"/>
      <c r="F63" s="460"/>
      <c r="G63" s="460"/>
      <c r="H63" s="460"/>
      <c r="I63" s="460"/>
      <c r="J63" s="460"/>
      <c r="K63" s="460"/>
      <c r="L63" s="460"/>
      <c r="M63" s="462"/>
      <c r="N63" s="2749"/>
      <c r="O63" s="2749"/>
      <c r="P63" s="2757"/>
      <c r="Q63" s="2736"/>
      <c r="R63" s="2659"/>
      <c r="S63" s="2659"/>
      <c r="T63" s="2659"/>
      <c r="U63" s="2659"/>
      <c r="V63" s="2659"/>
      <c r="W63" s="2659"/>
      <c r="X63" s="2659"/>
      <c r="Y63" s="2659"/>
      <c r="Z63" s="2659"/>
      <c r="AA63" s="2659"/>
      <c r="AB63" s="2659"/>
      <c r="AC63" s="2659"/>
    </row>
    <row r="64" spans="1:29">
      <c r="A64" s="475" t="s">
        <v>1719</v>
      </c>
      <c r="B64" s="476" t="s">
        <v>1685</v>
      </c>
      <c r="C64" s="477" t="str">
        <f>C9</f>
        <v>办公</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t="s">
        <v>3432</v>
      </c>
      <c r="D66" s="531" t="s">
        <v>3433</v>
      </c>
      <c r="E66" s="531" t="s">
        <v>3434</v>
      </c>
      <c r="F66" s="531" t="s">
        <v>3435</v>
      </c>
      <c r="G66" s="531" t="s">
        <v>3436</v>
      </c>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v>100</v>
      </c>
      <c r="D67" s="484">
        <v>98</v>
      </c>
      <c r="E67" s="484">
        <v>96</v>
      </c>
      <c r="F67" s="484">
        <v>94</v>
      </c>
      <c r="G67" s="484">
        <v>92</v>
      </c>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1</v>
      </c>
      <c r="E69" s="497">
        <v>2</v>
      </c>
      <c r="F69" s="497">
        <v>3</v>
      </c>
      <c r="G69" s="497">
        <v>4</v>
      </c>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97</v>
      </c>
      <c r="E78" s="492">
        <f>D78-$K15</f>
        <v>94</v>
      </c>
      <c r="F78" s="492">
        <f>E78-$K15</f>
        <v>91</v>
      </c>
      <c r="G78" s="492">
        <f>F78-$K15</f>
        <v>88</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98</v>
      </c>
      <c r="E80" s="492">
        <f>D80-$K17</f>
        <v>96</v>
      </c>
      <c r="F80" s="492">
        <f>E80-$K17</f>
        <v>94</v>
      </c>
      <c r="G80" s="492">
        <f>F80-$K17</f>
        <v>92</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98</v>
      </c>
      <c r="E82" s="492">
        <f>D82-$K19</f>
        <v>96</v>
      </c>
      <c r="F82" s="492">
        <f>E82-$K19</f>
        <v>94</v>
      </c>
      <c r="G82" s="492">
        <f>F82-$K19</f>
        <v>92</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98</v>
      </c>
      <c r="E84" s="492">
        <f>D84-$K21</f>
        <v>96</v>
      </c>
      <c r="F84" s="492">
        <f>E84-$K21</f>
        <v>94</v>
      </c>
      <c r="G84" s="492">
        <f>F84-$K21</f>
        <v>92</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97</v>
      </c>
      <c r="E86" s="492">
        <f>D86-$K23</f>
        <v>94</v>
      </c>
      <c r="F86" s="492">
        <f>E86-$K23</f>
        <v>91</v>
      </c>
      <c r="G86" s="492">
        <f>F86-$K23</f>
        <v>88</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7" customFormat="1" ht="27.75" thickTop="1">
      <c r="A87" s="527"/>
      <c r="B87" s="486" t="s">
        <v>1823</v>
      </c>
      <c r="C87" s="3480" t="s">
        <v>3458</v>
      </c>
      <c r="D87" s="3480" t="s">
        <v>3459</v>
      </c>
      <c r="E87" s="3480" t="s">
        <v>3460</v>
      </c>
      <c r="F87" s="3480" t="s">
        <v>3461</v>
      </c>
      <c r="G87" s="3480" t="s">
        <v>3462</v>
      </c>
      <c r="H87" s="502"/>
      <c r="I87" s="502"/>
      <c r="J87" s="502"/>
      <c r="K87" s="502"/>
      <c r="L87" s="528"/>
      <c r="M87" s="529"/>
      <c r="N87" s="2749"/>
      <c r="O87" s="2749"/>
      <c r="P87" s="2759"/>
      <c r="Q87" s="2736"/>
      <c r="R87" s="2659"/>
      <c r="S87" s="2659"/>
      <c r="T87" s="2659"/>
      <c r="U87" s="2659"/>
      <c r="V87" s="2659"/>
      <c r="W87" s="2659"/>
      <c r="X87" s="2659"/>
      <c r="Y87" s="2659"/>
      <c r="Z87" s="2659"/>
      <c r="AA87" s="2659"/>
      <c r="AB87" s="2659"/>
      <c r="AC87" s="2659"/>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9"/>
      <c r="S88" s="2659"/>
      <c r="T88" s="2659"/>
      <c r="U88" s="2659"/>
      <c r="V88" s="2659"/>
      <c r="W88" s="2659"/>
      <c r="X88" s="2659"/>
      <c r="Y88" s="2659"/>
      <c r="Z88" s="2659"/>
      <c r="AA88" s="2659"/>
      <c r="AB88" s="2659"/>
      <c r="AC88" s="2659"/>
    </row>
    <row r="89" spans="1:29" s="107" customFormat="1" ht="15.75" thickTop="1">
      <c r="A89" s="527"/>
      <c r="B89" s="486" t="str">
        <f>B27</f>
        <v>楼层</v>
      </c>
      <c r="C89" s="3480" t="s">
        <v>3498</v>
      </c>
      <c r="D89" s="3480" t="s">
        <v>3500</v>
      </c>
      <c r="E89" s="3480" t="s">
        <v>3502</v>
      </c>
      <c r="F89" s="1926"/>
      <c r="G89" s="502"/>
      <c r="H89" s="502"/>
      <c r="I89" s="502"/>
      <c r="J89" s="502"/>
      <c r="K89" s="502"/>
      <c r="L89" s="502"/>
      <c r="M89" s="529"/>
      <c r="N89" s="2749"/>
      <c r="O89" s="2749"/>
      <c r="P89" s="2759"/>
      <c r="Q89" s="2736"/>
      <c r="R89" s="2659"/>
      <c r="S89" s="2659"/>
      <c r="T89" s="2659"/>
      <c r="U89" s="2659"/>
      <c r="V89" s="2659"/>
      <c r="W89" s="2659"/>
      <c r="X89" s="2659"/>
      <c r="Y89" s="2659"/>
      <c r="Z89" s="2659"/>
      <c r="AA89" s="2659"/>
      <c r="AB89" s="2659"/>
      <c r="AC89" s="2659"/>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1"/>
      <c r="O90" s="2751"/>
      <c r="P90" s="2759"/>
      <c r="Q90" s="2736"/>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7"/>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3490" t="s">
        <v>3512</v>
      </c>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v>0</v>
      </c>
      <c r="D104" s="543">
        <v>100</v>
      </c>
      <c r="E104" s="543">
        <v>200</v>
      </c>
      <c r="F104" s="543">
        <v>300</v>
      </c>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v>100</v>
      </c>
      <c r="D105" s="484">
        <v>99</v>
      </c>
      <c r="E105" s="484">
        <v>98</v>
      </c>
      <c r="F105" s="484">
        <v>97</v>
      </c>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3480" t="s">
        <v>3464</v>
      </c>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3480" t="s">
        <v>3466</v>
      </c>
      <c r="D108" s="3480" t="s">
        <v>3468</v>
      </c>
      <c r="E108" s="3480" t="s">
        <v>3470</v>
      </c>
      <c r="F108" s="3491" t="s">
        <v>3471</v>
      </c>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3480" t="s">
        <v>3484</v>
      </c>
      <c r="D113" s="3480" t="s">
        <v>3485</v>
      </c>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3480" t="s">
        <v>3482</v>
      </c>
      <c r="D115" s="3480" t="s">
        <v>3483</v>
      </c>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3480" t="s">
        <v>3475</v>
      </c>
      <c r="D117" s="3480" t="s">
        <v>3477</v>
      </c>
      <c r="E117" s="3480" t="s">
        <v>3478</v>
      </c>
      <c r="F117" s="3480" t="s">
        <v>3479</v>
      </c>
      <c r="G117" s="3480" t="s">
        <v>3480</v>
      </c>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3491" t="s">
        <v>3473</v>
      </c>
      <c r="D119" s="3491" t="s">
        <v>3493</v>
      </c>
      <c r="E119" s="531"/>
      <c r="F119" s="531"/>
      <c r="G119" s="531"/>
      <c r="H119" s="531"/>
      <c r="I119" s="531"/>
      <c r="J119" s="531"/>
      <c r="K119" s="531"/>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3480" t="s">
        <v>3466</v>
      </c>
      <c r="D123" s="3480" t="s">
        <v>3468</v>
      </c>
      <c r="E123" s="3480" t="s">
        <v>3470</v>
      </c>
      <c r="F123" s="3491" t="s">
        <v>3471</v>
      </c>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t="str">
        <f>B45</f>
        <v>建成年代</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t="str">
        <f>B46</f>
        <v>户型</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4" zoomScale="90" zoomScaleNormal="70" zoomScaleSheetLayoutView="90" workbookViewId="0">
      <selection activeCell="I48" sqref="I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21</v>
      </c>
      <c r="E1" s="3429" t="s">
        <v>3424</v>
      </c>
      <c r="F1" s="1878" t="s">
        <v>3486</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1.9</v>
      </c>
      <c r="C3" s="353" t="s">
        <v>1665</v>
      </c>
      <c r="D3" s="352">
        <f>IF(D1="",'数据-汇总表'!E3,SUMIF('数据-汇总表'!$C19:$C33,D1,'数据-汇总表'!$E19:$E33))</f>
        <v>0</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16" t="s">
        <v>1667</v>
      </c>
      <c r="D4" s="3717"/>
      <c r="E4" s="3718" t="s">
        <v>1668</v>
      </c>
      <c r="F4" s="3719"/>
      <c r="G4" s="3716" t="s">
        <v>1669</v>
      </c>
      <c r="H4" s="3717"/>
      <c r="I4" s="3716" t="s">
        <v>1670</v>
      </c>
      <c r="J4" s="3717"/>
      <c r="K4" s="558" t="s">
        <v>1774</v>
      </c>
      <c r="L4" s="2712"/>
      <c r="M4" s="2713"/>
      <c r="N4" s="2713"/>
      <c r="O4" s="2713"/>
      <c r="P4" s="3773" t="s">
        <v>1672</v>
      </c>
      <c r="Q4" s="3774"/>
      <c r="R4" s="3777" t="s">
        <v>1668</v>
      </c>
      <c r="S4" s="3778"/>
      <c r="T4" s="3777" t="s">
        <v>1669</v>
      </c>
      <c r="U4" s="3778"/>
      <c r="V4" s="3779" t="s">
        <v>1670</v>
      </c>
      <c r="W4" s="3779"/>
      <c r="X4" s="3488"/>
      <c r="Y4" s="3777" t="s">
        <v>1672</v>
      </c>
      <c r="Z4" s="3778"/>
      <c r="AA4" s="3783" t="s">
        <v>1668</v>
      </c>
      <c r="AB4" s="3783" t="s">
        <v>1669</v>
      </c>
      <c r="AC4" s="3770" t="s">
        <v>1670</v>
      </c>
    </row>
    <row r="5" spans="1:29" ht="15">
      <c r="A5" s="357"/>
      <c r="B5" s="358"/>
      <c r="C5" s="3780"/>
      <c r="D5" s="3735"/>
      <c r="E5" s="3741" t="s">
        <v>3517</v>
      </c>
      <c r="F5" s="3742"/>
      <c r="G5" s="3780" t="s">
        <v>3518</v>
      </c>
      <c r="H5" s="3735"/>
      <c r="I5" s="3780" t="s">
        <v>3520</v>
      </c>
      <c r="J5" s="3735"/>
      <c r="K5" s="558"/>
      <c r="L5" s="2712"/>
      <c r="M5" s="2713"/>
      <c r="N5" s="2713"/>
      <c r="O5" s="2713"/>
      <c r="P5" s="3775"/>
      <c r="Q5" s="3723"/>
      <c r="R5" s="3728"/>
      <c r="S5" s="3729"/>
      <c r="T5" s="3728"/>
      <c r="U5" s="3729"/>
      <c r="V5" s="3711"/>
      <c r="W5" s="3711"/>
      <c r="X5" s="3483"/>
      <c r="Y5" s="3728"/>
      <c r="Z5" s="3729"/>
      <c r="AA5" s="3714"/>
      <c r="AB5" s="3714"/>
      <c r="AC5" s="3771"/>
    </row>
    <row r="6" spans="1:29" ht="15.75" thickBot="1">
      <c r="A6" s="359"/>
      <c r="B6" s="360"/>
      <c r="C6" s="3732" t="s">
        <v>1677</v>
      </c>
      <c r="D6" s="3733"/>
      <c r="E6" s="3782" t="s">
        <v>3510</v>
      </c>
      <c r="F6" s="3740"/>
      <c r="G6" s="3784" t="s">
        <v>3511</v>
      </c>
      <c r="H6" s="3733"/>
      <c r="I6" s="3732" t="s">
        <v>1677</v>
      </c>
      <c r="J6" s="3733"/>
      <c r="K6" s="558" t="s">
        <v>1678</v>
      </c>
      <c r="L6" s="2712"/>
      <c r="M6" s="2713"/>
      <c r="N6" s="2713"/>
      <c r="O6" s="2713"/>
      <c r="P6" s="3776"/>
      <c r="Q6" s="3725"/>
      <c r="R6" s="3728"/>
      <c r="S6" s="3729"/>
      <c r="T6" s="3730"/>
      <c r="U6" s="3731"/>
      <c r="V6" s="3711"/>
      <c r="W6" s="3711"/>
      <c r="X6" s="3483"/>
      <c r="Y6" s="3730"/>
      <c r="Z6" s="3731"/>
      <c r="AA6" s="3715"/>
      <c r="AB6" s="3715"/>
      <c r="AC6" s="3772"/>
    </row>
    <row r="7" spans="1:29" s="107" customFormat="1" ht="15.75" thickBot="1">
      <c r="A7" s="361" t="s">
        <v>1679</v>
      </c>
      <c r="B7" s="362"/>
      <c r="C7" s="363">
        <f>'数据-取费表'!B2</f>
        <v>45299</v>
      </c>
      <c r="D7" s="364">
        <v>100</v>
      </c>
      <c r="E7" s="365">
        <f>C7</f>
        <v>45299</v>
      </c>
      <c r="F7" s="366">
        <f>SUMIF(59:59,YEAR(E7)&amp;"-"&amp;MONTH(E7),60:60)</f>
        <v>100</v>
      </c>
      <c r="G7" s="365">
        <f>C7</f>
        <v>45299</v>
      </c>
      <c r="H7" s="364">
        <f>SUMIF(59:59,YEAR(G7)&amp;"-"&amp;MONTH(G7),60:60)</f>
        <v>100</v>
      </c>
      <c r="I7" s="365">
        <f>C7</f>
        <v>45299</v>
      </c>
      <c r="J7" s="364">
        <f>SUMIF(59:59,YEAR(I7)&amp;"-"&amp;MONTH(I7),60:60)</f>
        <v>100</v>
      </c>
      <c r="K7" s="559"/>
      <c r="L7" s="2714"/>
      <c r="M7" s="2715"/>
      <c r="N7" s="2715"/>
      <c r="O7" s="2715"/>
      <c r="P7" s="3781" t="s">
        <v>1680</v>
      </c>
      <c r="Q7" s="3738"/>
      <c r="R7" s="700" t="s">
        <v>14</v>
      </c>
      <c r="S7" s="701">
        <f t="shared" ref="S7:S15" si="0">F7</f>
        <v>100</v>
      </c>
      <c r="T7" s="700" t="s">
        <v>14</v>
      </c>
      <c r="U7" s="701">
        <f t="shared" ref="U7:U15" si="1">H7</f>
        <v>100</v>
      </c>
      <c r="V7" s="700" t="s">
        <v>14</v>
      </c>
      <c r="W7" s="701">
        <f t="shared" ref="W7:W15" si="2">J7</f>
        <v>100</v>
      </c>
      <c r="X7" s="702"/>
      <c r="Y7" s="3736" t="s">
        <v>1680</v>
      </c>
      <c r="Z7" s="3737"/>
      <c r="AA7" s="703">
        <f>D7/F7</f>
        <v>1</v>
      </c>
      <c r="AB7" s="703">
        <f>D7/H7</f>
        <v>1</v>
      </c>
      <c r="AC7" s="1958">
        <f>D7/J7</f>
        <v>1</v>
      </c>
    </row>
    <row r="8" spans="1:29" s="107" customFormat="1" ht="15.75" thickBot="1">
      <c r="A8" s="361" t="s">
        <v>1681</v>
      </c>
      <c r="B8" s="362"/>
      <c r="C8" s="367" t="s">
        <v>3429</v>
      </c>
      <c r="D8" s="364">
        <v>100</v>
      </c>
      <c r="E8" s="367" t="s">
        <v>3430</v>
      </c>
      <c r="F8" s="366">
        <f>SUMIF(62:62,E8,63:63)-SUMIF(62:62,C8,63:63)+100</f>
        <v>105</v>
      </c>
      <c r="G8" s="367" t="s">
        <v>3430</v>
      </c>
      <c r="H8" s="364">
        <f>SUMIF(62:62,G8,63:63)-SUMIF(62:62,C8,63:63)+100</f>
        <v>105</v>
      </c>
      <c r="I8" s="367" t="s">
        <v>3430</v>
      </c>
      <c r="J8" s="364">
        <f>SUMIF(62:62,I8,63:63)-SUMIF(62:62,C8,63:63)+100</f>
        <v>105</v>
      </c>
      <c r="K8" s="559"/>
      <c r="L8" s="2714"/>
      <c r="M8" s="2715"/>
      <c r="N8" s="2715"/>
      <c r="O8" s="2715"/>
      <c r="P8" s="3781" t="s">
        <v>1683</v>
      </c>
      <c r="Q8" s="3737"/>
      <c r="R8" s="700" t="s">
        <v>14</v>
      </c>
      <c r="S8" s="701">
        <f t="shared" si="0"/>
        <v>105</v>
      </c>
      <c r="T8" s="700" t="s">
        <v>14</v>
      </c>
      <c r="U8" s="701">
        <f t="shared" si="1"/>
        <v>105</v>
      </c>
      <c r="V8" s="700" t="s">
        <v>14</v>
      </c>
      <c r="W8" s="701">
        <f t="shared" si="2"/>
        <v>105</v>
      </c>
      <c r="X8" s="702"/>
      <c r="Y8" s="3736" t="s">
        <v>1683</v>
      </c>
      <c r="Z8" s="3737"/>
      <c r="AA8" s="703">
        <f t="shared" ref="AA8:AA47" si="3">D8/F8</f>
        <v>0.95238095238095233</v>
      </c>
      <c r="AB8" s="703">
        <f t="shared" ref="AB8:AB47" si="4">D8/H8</f>
        <v>0.95238095238095233</v>
      </c>
      <c r="AC8" s="1958">
        <f t="shared" ref="AC8:AC47" si="5">D8/J8</f>
        <v>0.95238095238095233</v>
      </c>
    </row>
    <row r="9" spans="1:29" s="107" customFormat="1" ht="15">
      <c r="A9" s="368" t="s">
        <v>1684</v>
      </c>
      <c r="B9" s="63" t="s">
        <v>1685</v>
      </c>
      <c r="C9" s="3489" t="s">
        <v>3508</v>
      </c>
      <c r="D9" s="125">
        <v>100</v>
      </c>
      <c r="E9" s="372" t="s">
        <v>21</v>
      </c>
      <c r="F9" s="125">
        <f>SUMIF(64:64,E9,65:65)-SUMIF(64:64,C9,65:65)+100</f>
        <v>103</v>
      </c>
      <c r="G9" s="372" t="s">
        <v>21</v>
      </c>
      <c r="H9" s="125">
        <f>SUMIF(64:64,G9,65:65)-SUMIF(64:64,C9,65:65)+100</f>
        <v>103</v>
      </c>
      <c r="I9" s="372" t="s">
        <v>21</v>
      </c>
      <c r="J9" s="125">
        <f>SUMIF(64:64,I9,65:65)-SUMIF(64:64,C9,65:65)+100</f>
        <v>103</v>
      </c>
      <c r="K9" s="559"/>
      <c r="L9" s="2714"/>
      <c r="M9" s="2715"/>
      <c r="N9" s="2715"/>
      <c r="O9" s="2715"/>
      <c r="P9" s="3712" t="s">
        <v>1686</v>
      </c>
      <c r="Q9" s="3482" t="str">
        <f t="shared" ref="Q9:Q15" si="6">B9</f>
        <v>用途</v>
      </c>
      <c r="R9" s="700" t="s">
        <v>14</v>
      </c>
      <c r="S9" s="701">
        <f t="shared" si="0"/>
        <v>103</v>
      </c>
      <c r="T9" s="700" t="s">
        <v>14</v>
      </c>
      <c r="U9" s="701">
        <f t="shared" si="1"/>
        <v>103</v>
      </c>
      <c r="V9" s="700" t="s">
        <v>14</v>
      </c>
      <c r="W9" s="701">
        <f t="shared" si="2"/>
        <v>103</v>
      </c>
      <c r="X9" s="702"/>
      <c r="Y9" s="3597" t="s">
        <v>1687</v>
      </c>
      <c r="Z9" s="3481" t="str">
        <f t="shared" ref="Z9:Z15" si="7">Q9</f>
        <v>用途</v>
      </c>
      <c r="AA9" s="703">
        <f t="shared" si="3"/>
        <v>0.970873786407767</v>
      </c>
      <c r="AB9" s="703">
        <f t="shared" si="4"/>
        <v>0.970873786407767</v>
      </c>
      <c r="AC9" s="1958">
        <f t="shared" si="5"/>
        <v>0.970873786407767</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6"/>
      <c r="M10" s="2717"/>
      <c r="N10" s="2717"/>
      <c r="O10" s="2717"/>
      <c r="P10" s="3712"/>
      <c r="Q10" s="3482" t="str">
        <f t="shared" si="6"/>
        <v>土地使用年限（年）</v>
      </c>
      <c r="R10" s="700" t="s">
        <v>14</v>
      </c>
      <c r="S10" s="701">
        <f t="shared" si="0"/>
        <v>100</v>
      </c>
      <c r="T10" s="700" t="s">
        <v>14</v>
      </c>
      <c r="U10" s="701">
        <f t="shared" si="1"/>
        <v>100</v>
      </c>
      <c r="V10" s="700" t="s">
        <v>14</v>
      </c>
      <c r="W10" s="701">
        <f t="shared" si="2"/>
        <v>100</v>
      </c>
      <c r="X10" s="702"/>
      <c r="Y10" s="3597"/>
      <c r="Z10" s="3481"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12"/>
      <c r="Q11" s="3482" t="str">
        <f t="shared" si="6"/>
        <v>容积率</v>
      </c>
      <c r="R11" s="700" t="s">
        <v>14</v>
      </c>
      <c r="S11" s="701">
        <f t="shared" si="0"/>
        <v>100</v>
      </c>
      <c r="T11" s="700" t="s">
        <v>14</v>
      </c>
      <c r="U11" s="701">
        <f t="shared" si="1"/>
        <v>100</v>
      </c>
      <c r="V11" s="700" t="s">
        <v>14</v>
      </c>
      <c r="W11" s="701">
        <f t="shared" si="2"/>
        <v>100</v>
      </c>
      <c r="X11" s="702"/>
      <c r="Y11" s="3597"/>
      <c r="Z11" s="348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4"/>
      <c r="M12" s="2715"/>
      <c r="N12" s="2715"/>
      <c r="O12" s="2715"/>
      <c r="P12" s="3712"/>
      <c r="Q12" s="3482">
        <f t="shared" si="6"/>
        <v>111</v>
      </c>
      <c r="R12" s="700" t="s">
        <v>14</v>
      </c>
      <c r="S12" s="701">
        <f t="shared" si="0"/>
        <v>100</v>
      </c>
      <c r="T12" s="700" t="s">
        <v>14</v>
      </c>
      <c r="U12" s="701">
        <f t="shared" si="1"/>
        <v>100</v>
      </c>
      <c r="V12" s="700" t="s">
        <v>14</v>
      </c>
      <c r="W12" s="701">
        <f t="shared" si="2"/>
        <v>100</v>
      </c>
      <c r="X12" s="702"/>
      <c r="Y12" s="3597"/>
      <c r="Z12" s="348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9"/>
      <c r="M13" s="2713"/>
      <c r="N13" s="2713"/>
      <c r="O13" s="2713"/>
      <c r="P13" s="3712"/>
      <c r="Q13" s="3482">
        <f t="shared" si="6"/>
        <v>111</v>
      </c>
      <c r="R13" s="700" t="s">
        <v>14</v>
      </c>
      <c r="S13" s="701">
        <f t="shared" si="0"/>
        <v>100</v>
      </c>
      <c r="T13" s="700" t="s">
        <v>14</v>
      </c>
      <c r="U13" s="701">
        <f t="shared" si="1"/>
        <v>100</v>
      </c>
      <c r="V13" s="700" t="s">
        <v>14</v>
      </c>
      <c r="W13" s="701">
        <f t="shared" si="2"/>
        <v>100</v>
      </c>
      <c r="X13" s="702"/>
      <c r="Y13" s="3597"/>
      <c r="Z13" s="348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9"/>
      <c r="M14" s="2713"/>
      <c r="N14" s="2713"/>
      <c r="O14" s="2713"/>
      <c r="P14" s="3712"/>
      <c r="Q14" s="3482">
        <f t="shared" si="6"/>
        <v>111</v>
      </c>
      <c r="R14" s="700" t="s">
        <v>14</v>
      </c>
      <c r="S14" s="701">
        <f t="shared" si="0"/>
        <v>100</v>
      </c>
      <c r="T14" s="700" t="s">
        <v>14</v>
      </c>
      <c r="U14" s="701">
        <f t="shared" si="1"/>
        <v>100</v>
      </c>
      <c r="V14" s="700" t="s">
        <v>14</v>
      </c>
      <c r="W14" s="701">
        <f t="shared" si="2"/>
        <v>100</v>
      </c>
      <c r="X14" s="702"/>
      <c r="Y14" s="3597"/>
      <c r="Z14" s="3481">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103</v>
      </c>
      <c r="G15" s="392"/>
      <c r="H15" s="391">
        <f>SUMIF(77:77,G16,78:78)-SUMIF(77:77,C16,78:78)+100</f>
        <v>97</v>
      </c>
      <c r="I15" s="392"/>
      <c r="J15" s="391">
        <f>SUMIF(77:77,I16,78:78)-SUMIF(77:77,C16,78:78)+100</f>
        <v>100</v>
      </c>
      <c r="K15" s="562">
        <v>3</v>
      </c>
      <c r="L15" s="2719"/>
      <c r="M15" s="2713"/>
      <c r="N15" s="2713"/>
      <c r="O15" s="2713"/>
      <c r="P15" s="3702" t="s">
        <v>1691</v>
      </c>
      <c r="Q15" s="3485" t="str">
        <f t="shared" si="6"/>
        <v>办公集聚程度</v>
      </c>
      <c r="R15" s="704" t="s">
        <v>14</v>
      </c>
      <c r="S15" s="705">
        <f t="shared" si="0"/>
        <v>103</v>
      </c>
      <c r="T15" s="704" t="s">
        <v>14</v>
      </c>
      <c r="U15" s="705">
        <f t="shared" si="1"/>
        <v>97</v>
      </c>
      <c r="V15" s="704" t="s">
        <v>14</v>
      </c>
      <c r="W15" s="705">
        <f t="shared" si="2"/>
        <v>100</v>
      </c>
      <c r="X15" s="3483"/>
      <c r="Y15" s="3704" t="s">
        <v>1691</v>
      </c>
      <c r="Z15" s="3484" t="str">
        <f t="shared" si="7"/>
        <v>办公集聚程度</v>
      </c>
      <c r="AA15" s="3486">
        <f t="shared" si="3"/>
        <v>0.970873786407767</v>
      </c>
      <c r="AB15" s="3486">
        <f t="shared" si="4"/>
        <v>1.0309278350515463</v>
      </c>
      <c r="AC15" s="1961">
        <f t="shared" si="5"/>
        <v>1</v>
      </c>
    </row>
    <row r="16" spans="1:29" ht="15">
      <c r="A16" s="378"/>
      <c r="B16" s="577"/>
      <c r="C16" s="3502" t="s">
        <v>3411</v>
      </c>
      <c r="D16" s="398"/>
      <c r="E16" s="1903" t="s">
        <v>3412</v>
      </c>
      <c r="F16" s="398"/>
      <c r="G16" s="1903" t="s">
        <v>3519</v>
      </c>
      <c r="H16" s="400"/>
      <c r="I16" s="1903" t="s">
        <v>3411</v>
      </c>
      <c r="J16" s="398"/>
      <c r="K16" s="563"/>
      <c r="L16" s="2719"/>
      <c r="M16" s="2713"/>
      <c r="N16" s="2713"/>
      <c r="O16" s="2713"/>
      <c r="P16" s="3703"/>
      <c r="Q16" s="3485"/>
      <c r="R16" s="704"/>
      <c r="S16" s="705"/>
      <c r="T16" s="704"/>
      <c r="U16" s="705"/>
      <c r="V16" s="704"/>
      <c r="W16" s="705"/>
      <c r="X16" s="3483"/>
      <c r="Y16" s="3705"/>
      <c r="Z16" s="3484"/>
      <c r="AA16" s="3486">
        <v>1</v>
      </c>
      <c r="AB16" s="3486">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98</v>
      </c>
      <c r="I17" s="402"/>
      <c r="J17" s="405">
        <f>SUMIF(79:79,I18,80:80)-SUMIF(79:79,C18,80:80)+100</f>
        <v>100</v>
      </c>
      <c r="K17" s="562">
        <v>2</v>
      </c>
      <c r="L17" s="2719"/>
      <c r="M17" s="2713"/>
      <c r="N17" s="2713"/>
      <c r="O17" s="2713"/>
      <c r="P17" s="3703"/>
      <c r="Q17" s="3485" t="str">
        <f>B17</f>
        <v>交通便捷度</v>
      </c>
      <c r="R17" s="704" t="s">
        <v>14</v>
      </c>
      <c r="S17" s="705">
        <f>F17</f>
        <v>100</v>
      </c>
      <c r="T17" s="704" t="s">
        <v>14</v>
      </c>
      <c r="U17" s="705">
        <f>H17</f>
        <v>98</v>
      </c>
      <c r="V17" s="704" t="s">
        <v>14</v>
      </c>
      <c r="W17" s="705">
        <f>J17</f>
        <v>100</v>
      </c>
      <c r="X17" s="3483"/>
      <c r="Y17" s="3705"/>
      <c r="Z17" s="3484" t="str">
        <f>Q17</f>
        <v>交通便捷度</v>
      </c>
      <c r="AA17" s="3486">
        <f t="shared" si="3"/>
        <v>1</v>
      </c>
      <c r="AB17" s="3486">
        <f t="shared" si="4"/>
        <v>1.0204081632653061</v>
      </c>
      <c r="AC17" s="1961">
        <f t="shared" si="5"/>
        <v>1</v>
      </c>
    </row>
    <row r="18" spans="1:29" ht="15">
      <c r="A18" s="378"/>
      <c r="B18" s="579"/>
      <c r="C18" s="1903" t="s">
        <v>3412</v>
      </c>
      <c r="D18" s="400"/>
      <c r="E18" s="1903" t="s">
        <v>3412</v>
      </c>
      <c r="F18" s="400"/>
      <c r="G18" s="1903" t="s">
        <v>3411</v>
      </c>
      <c r="H18" s="398"/>
      <c r="I18" s="1903" t="s">
        <v>3412</v>
      </c>
      <c r="J18" s="398"/>
      <c r="K18" s="563"/>
      <c r="L18" s="2719"/>
      <c r="M18" s="2713"/>
      <c r="N18" s="2713"/>
      <c r="O18" s="2713"/>
      <c r="P18" s="3703"/>
      <c r="Q18" s="3485"/>
      <c r="R18" s="704"/>
      <c r="S18" s="705"/>
      <c r="T18" s="704"/>
      <c r="U18" s="705"/>
      <c r="V18" s="704"/>
      <c r="W18" s="705"/>
      <c r="X18" s="3483"/>
      <c r="Y18" s="3705"/>
      <c r="Z18" s="3484"/>
      <c r="AA18" s="3486">
        <v>1</v>
      </c>
      <c r="AB18" s="3486">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96</v>
      </c>
      <c r="I19" s="407"/>
      <c r="J19" s="400">
        <f>SUMIF(81:81,I20,82:82)-SUMIF(81:81,C20,82:82)+100</f>
        <v>98</v>
      </c>
      <c r="K19" s="562">
        <v>2</v>
      </c>
      <c r="L19" s="2719"/>
      <c r="M19" s="2713"/>
      <c r="N19" s="2713"/>
      <c r="O19" s="2713"/>
      <c r="P19" s="3703"/>
      <c r="Q19" s="3485" t="str">
        <f>B19</f>
        <v>公共配套设施</v>
      </c>
      <c r="R19" s="704" t="s">
        <v>14</v>
      </c>
      <c r="S19" s="705">
        <f>F19</f>
        <v>100</v>
      </c>
      <c r="T19" s="704" t="s">
        <v>14</v>
      </c>
      <c r="U19" s="705">
        <f>H19</f>
        <v>96</v>
      </c>
      <c r="V19" s="704" t="s">
        <v>14</v>
      </c>
      <c r="W19" s="705">
        <f>J19</f>
        <v>98</v>
      </c>
      <c r="X19" s="3483"/>
      <c r="Y19" s="3705"/>
      <c r="Z19" s="3484" t="str">
        <f>Q19</f>
        <v>公共配套设施</v>
      </c>
      <c r="AA19" s="3486">
        <f t="shared" si="3"/>
        <v>1</v>
      </c>
      <c r="AB19" s="3486">
        <f t="shared" si="4"/>
        <v>1.0416666666666667</v>
      </c>
      <c r="AC19" s="1961">
        <f t="shared" si="5"/>
        <v>1.0204081632653061</v>
      </c>
    </row>
    <row r="20" spans="1:29" ht="15">
      <c r="A20" s="378"/>
      <c r="B20" s="579"/>
      <c r="C20" s="1903" t="s">
        <v>3412</v>
      </c>
      <c r="D20" s="398"/>
      <c r="E20" s="1903" t="s">
        <v>3412</v>
      </c>
      <c r="F20" s="398"/>
      <c r="G20" s="1903" t="s">
        <v>3519</v>
      </c>
      <c r="H20" s="398"/>
      <c r="I20" s="1903" t="s">
        <v>3411</v>
      </c>
      <c r="J20" s="398"/>
      <c r="K20" s="563"/>
      <c r="L20" s="2719"/>
      <c r="M20" s="2713"/>
      <c r="N20" s="2713"/>
      <c r="O20" s="2713"/>
      <c r="P20" s="3703"/>
      <c r="Q20" s="3485"/>
      <c r="R20" s="704"/>
      <c r="S20" s="705"/>
      <c r="T20" s="704"/>
      <c r="U20" s="705"/>
      <c r="V20" s="704"/>
      <c r="W20" s="705"/>
      <c r="X20" s="3483"/>
      <c r="Y20" s="3705"/>
      <c r="Z20" s="3484"/>
      <c r="AA20" s="3486">
        <v>1</v>
      </c>
      <c r="AB20" s="3486">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9"/>
      <c r="M21" s="2713"/>
      <c r="N21" s="2713"/>
      <c r="O21" s="2713"/>
      <c r="P21" s="3703"/>
      <c r="Q21" s="3485" t="str">
        <f>B21</f>
        <v>基础设施水平</v>
      </c>
      <c r="R21" s="704" t="s">
        <v>14</v>
      </c>
      <c r="S21" s="705">
        <f>F21</f>
        <v>100</v>
      </c>
      <c r="T21" s="704" t="s">
        <v>14</v>
      </c>
      <c r="U21" s="705">
        <f>H21</f>
        <v>100</v>
      </c>
      <c r="V21" s="704" t="s">
        <v>14</v>
      </c>
      <c r="W21" s="705">
        <f>J21</f>
        <v>100</v>
      </c>
      <c r="X21" s="3483"/>
      <c r="Y21" s="3705"/>
      <c r="Z21" s="3484" t="str">
        <f>Q21</f>
        <v>基础设施水平</v>
      </c>
      <c r="AA21" s="3486">
        <f t="shared" ref="AA21" si="8">D21/F21</f>
        <v>1</v>
      </c>
      <c r="AB21" s="3486">
        <f t="shared" ref="AB21" si="9">D21/H21</f>
        <v>1</v>
      </c>
      <c r="AC21" s="1961">
        <f t="shared" ref="AC21" si="10">D21/J21</f>
        <v>1</v>
      </c>
    </row>
    <row r="22" spans="1:29" ht="15">
      <c r="A22" s="378"/>
      <c r="B22" s="580"/>
      <c r="C22" s="1963" t="s">
        <v>3474</v>
      </c>
      <c r="D22" s="398"/>
      <c r="E22" s="1963" t="s">
        <v>3474</v>
      </c>
      <c r="F22" s="398"/>
      <c r="G22" s="1963" t="s">
        <v>3474</v>
      </c>
      <c r="H22" s="398"/>
      <c r="I22" s="1963" t="s">
        <v>3474</v>
      </c>
      <c r="J22" s="398"/>
      <c r="K22" s="1129"/>
      <c r="L22" s="2719"/>
      <c r="M22" s="2713"/>
      <c r="N22" s="2713"/>
      <c r="O22" s="2713"/>
      <c r="P22" s="3703"/>
      <c r="Q22" s="3485"/>
      <c r="R22" s="704"/>
      <c r="S22" s="705"/>
      <c r="T22" s="704"/>
      <c r="U22" s="705"/>
      <c r="V22" s="704"/>
      <c r="W22" s="705"/>
      <c r="X22" s="3483"/>
      <c r="Y22" s="3705"/>
      <c r="Z22" s="3484"/>
      <c r="AA22" s="3486">
        <v>1</v>
      </c>
      <c r="AB22" s="3486">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9"/>
      <c r="M23" s="2713"/>
      <c r="N23" s="2713"/>
      <c r="O23" s="2713"/>
      <c r="P23" s="3703"/>
      <c r="Q23" s="3485" t="str">
        <f>B23</f>
        <v>环境质量</v>
      </c>
      <c r="R23" s="704" t="s">
        <v>14</v>
      </c>
      <c r="S23" s="705">
        <f>F23</f>
        <v>100</v>
      </c>
      <c r="T23" s="704" t="s">
        <v>14</v>
      </c>
      <c r="U23" s="705">
        <f>H23</f>
        <v>100</v>
      </c>
      <c r="V23" s="704" t="s">
        <v>14</v>
      </c>
      <c r="W23" s="705">
        <f>J23</f>
        <v>100</v>
      </c>
      <c r="X23" s="3483"/>
      <c r="Y23" s="3705"/>
      <c r="Z23" s="3484" t="str">
        <f>Q23</f>
        <v>环境质量</v>
      </c>
      <c r="AA23" s="3486">
        <f t="shared" si="3"/>
        <v>1</v>
      </c>
      <c r="AB23" s="3486">
        <f t="shared" si="4"/>
        <v>1</v>
      </c>
      <c r="AC23" s="1961">
        <f t="shared" si="5"/>
        <v>1</v>
      </c>
    </row>
    <row r="24" spans="1:29" ht="15">
      <c r="A24" s="378"/>
      <c r="B24" s="580"/>
      <c r="C24" s="1903" t="s">
        <v>3411</v>
      </c>
      <c r="D24" s="398"/>
      <c r="E24" s="1903" t="s">
        <v>3411</v>
      </c>
      <c r="F24" s="398"/>
      <c r="G24" s="1903" t="s">
        <v>3411</v>
      </c>
      <c r="H24" s="398"/>
      <c r="I24" s="1903" t="s">
        <v>3411</v>
      </c>
      <c r="J24" s="398"/>
      <c r="K24" s="563"/>
      <c r="L24" s="2719"/>
      <c r="M24" s="2713"/>
      <c r="N24" s="2713"/>
      <c r="O24" s="2713"/>
      <c r="P24" s="3703"/>
      <c r="Q24" s="3485"/>
      <c r="R24" s="704"/>
      <c r="S24" s="705"/>
      <c r="T24" s="704"/>
      <c r="U24" s="705"/>
      <c r="V24" s="704"/>
      <c r="W24" s="705"/>
      <c r="X24" s="3483"/>
      <c r="Y24" s="3705"/>
      <c r="Z24" s="3484"/>
      <c r="AA24" s="3486">
        <v>1</v>
      </c>
      <c r="AB24" s="3486">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19"/>
      <c r="M25" s="2713"/>
      <c r="N25" s="2713"/>
      <c r="O25" s="2713"/>
      <c r="P25" s="3703"/>
      <c r="Q25" s="3485" t="str">
        <f>B25</f>
        <v>毗邻道路的类型与等级</v>
      </c>
      <c r="R25" s="704" t="s">
        <v>14</v>
      </c>
      <c r="S25" s="705">
        <f>F25</f>
        <v>100</v>
      </c>
      <c r="T25" s="704" t="s">
        <v>14</v>
      </c>
      <c r="U25" s="705">
        <f>H25</f>
        <v>100</v>
      </c>
      <c r="V25" s="704" t="s">
        <v>14</v>
      </c>
      <c r="W25" s="705">
        <f>J25</f>
        <v>100</v>
      </c>
      <c r="X25" s="3483"/>
      <c r="Y25" s="3705"/>
      <c r="Z25" s="3484" t="str">
        <f>Q25</f>
        <v>毗邻道路的类型与等级</v>
      </c>
      <c r="AA25" s="3486">
        <f t="shared" si="3"/>
        <v>1</v>
      </c>
      <c r="AB25" s="3486">
        <f t="shared" si="4"/>
        <v>1</v>
      </c>
      <c r="AC25" s="1961">
        <f t="shared" si="5"/>
        <v>1</v>
      </c>
    </row>
    <row r="26" spans="1:29" ht="15">
      <c r="A26" s="357"/>
      <c r="B26" s="579"/>
      <c r="C26" s="581"/>
      <c r="D26" s="385"/>
      <c r="E26" s="564"/>
      <c r="F26" s="385"/>
      <c r="G26" s="581"/>
      <c r="H26" s="385"/>
      <c r="I26" s="564"/>
      <c r="J26" s="385"/>
      <c r="K26" s="563"/>
      <c r="L26" s="2719"/>
      <c r="M26" s="2713"/>
      <c r="N26" s="2713"/>
      <c r="O26" s="2713"/>
      <c r="P26" s="3703"/>
      <c r="Q26" s="3485"/>
      <c r="R26" s="704"/>
      <c r="S26" s="705"/>
      <c r="T26" s="704"/>
      <c r="U26" s="705"/>
      <c r="V26" s="704"/>
      <c r="W26" s="705"/>
      <c r="X26" s="3483"/>
      <c r="Y26" s="3705"/>
      <c r="Z26" s="3484"/>
      <c r="AA26" s="3486">
        <v>1</v>
      </c>
      <c r="AB26" s="3486">
        <v>1</v>
      </c>
      <c r="AC26" s="1961">
        <v>1</v>
      </c>
    </row>
    <row r="27" spans="1:29" ht="15">
      <c r="A27" s="378"/>
      <c r="B27" s="579" t="s">
        <v>1783</v>
      </c>
      <c r="C27" s="581"/>
      <c r="D27" s="385">
        <v>100</v>
      </c>
      <c r="E27" s="581"/>
      <c r="F27" s="385">
        <f>SUMIF(89:89,E27,90:90)-SUMIF(89:89,C27,90:90)+100</f>
        <v>100</v>
      </c>
      <c r="G27" s="581"/>
      <c r="H27" s="385">
        <f>SUMIF(89:89,G27,90:90)-SUMIF(89:89,C27,90:90)+100</f>
        <v>100</v>
      </c>
      <c r="I27" s="581"/>
      <c r="J27" s="385">
        <f>SUMIF(89:89,I27,90:90)-SUMIF(89:89,C27,90:90)+100</f>
        <v>100</v>
      </c>
      <c r="K27" s="560">
        <v>0</v>
      </c>
      <c r="L27" s="2719"/>
      <c r="M27" s="2713"/>
      <c r="N27" s="2713"/>
      <c r="O27" s="2713"/>
      <c r="P27" s="3703"/>
      <c r="Q27" s="3485" t="str">
        <f t="shared" ref="Q27:Q47" si="11">B27</f>
        <v>楼层</v>
      </c>
      <c r="R27" s="704" t="s">
        <v>14</v>
      </c>
      <c r="S27" s="705">
        <f>F27</f>
        <v>100</v>
      </c>
      <c r="T27" s="704" t="s">
        <v>14</v>
      </c>
      <c r="U27" s="705">
        <f>H27</f>
        <v>100</v>
      </c>
      <c r="V27" s="704" t="s">
        <v>14</v>
      </c>
      <c r="W27" s="705">
        <f>J27</f>
        <v>100</v>
      </c>
      <c r="X27" s="3483"/>
      <c r="Y27" s="3705"/>
      <c r="Z27" s="3484" t="str">
        <f>Q27</f>
        <v>楼层</v>
      </c>
      <c r="AA27" s="3486">
        <f t="shared" si="3"/>
        <v>1</v>
      </c>
      <c r="AB27" s="3486">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4"/>
      <c r="M28" s="2715"/>
      <c r="N28" s="2715"/>
      <c r="O28" s="2715"/>
      <c r="P28" s="3703"/>
      <c r="Q28" s="3482" t="str">
        <f t="shared" si="11"/>
        <v>朝向</v>
      </c>
      <c r="R28" s="700" t="s">
        <v>14</v>
      </c>
      <c r="S28" s="701">
        <f>F28</f>
        <v>100</v>
      </c>
      <c r="T28" s="700" t="s">
        <v>14</v>
      </c>
      <c r="U28" s="701">
        <f>H28</f>
        <v>100</v>
      </c>
      <c r="V28" s="700" t="s">
        <v>14</v>
      </c>
      <c r="W28" s="701">
        <f>J28</f>
        <v>100</v>
      </c>
      <c r="X28" s="702"/>
      <c r="Y28" s="3705"/>
      <c r="Z28" s="3481" t="str">
        <f>Q28</f>
        <v>朝向</v>
      </c>
      <c r="AA28" s="3486">
        <f>D28/F28</f>
        <v>1</v>
      </c>
      <c r="AB28" s="3486">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9"/>
      <c r="M29" s="2713"/>
      <c r="N29" s="2713"/>
      <c r="O29" s="2713"/>
      <c r="P29" s="3703"/>
      <c r="Q29" s="3485">
        <f t="shared" si="11"/>
        <v>111</v>
      </c>
      <c r="R29" s="704" t="s">
        <v>14</v>
      </c>
      <c r="S29" s="705">
        <f t="shared" ref="S29:S47" si="12">F29</f>
        <v>100</v>
      </c>
      <c r="T29" s="704" t="s">
        <v>14</v>
      </c>
      <c r="U29" s="705">
        <f t="shared" ref="U29:U47" si="13">H29</f>
        <v>100</v>
      </c>
      <c r="V29" s="704" t="s">
        <v>14</v>
      </c>
      <c r="W29" s="705">
        <f t="shared" ref="W29:W47" si="14">J29</f>
        <v>100</v>
      </c>
      <c r="X29" s="3483"/>
      <c r="Y29" s="3705"/>
      <c r="Z29" s="3484">
        <f t="shared" ref="Z29:Z47" si="15">Q29</f>
        <v>111</v>
      </c>
      <c r="AA29" s="3486">
        <f t="shared" si="3"/>
        <v>1</v>
      </c>
      <c r="AB29" s="3486">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9"/>
      <c r="M30" s="2713"/>
      <c r="N30" s="2713"/>
      <c r="O30" s="2713"/>
      <c r="P30" s="3703"/>
      <c r="Q30" s="3485">
        <f t="shared" si="11"/>
        <v>111</v>
      </c>
      <c r="R30" s="704" t="s">
        <v>14</v>
      </c>
      <c r="S30" s="705">
        <f t="shared" si="12"/>
        <v>100</v>
      </c>
      <c r="T30" s="704" t="s">
        <v>14</v>
      </c>
      <c r="U30" s="705">
        <f t="shared" si="13"/>
        <v>100</v>
      </c>
      <c r="V30" s="704" t="s">
        <v>14</v>
      </c>
      <c r="W30" s="705">
        <f t="shared" si="14"/>
        <v>100</v>
      </c>
      <c r="X30" s="3483"/>
      <c r="Y30" s="3705"/>
      <c r="Z30" s="3484">
        <f t="shared" si="15"/>
        <v>111</v>
      </c>
      <c r="AA30" s="3486">
        <f t="shared" si="3"/>
        <v>1</v>
      </c>
      <c r="AB30" s="3486">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9"/>
      <c r="M31" s="2713"/>
      <c r="N31" s="2713"/>
      <c r="O31" s="2713"/>
      <c r="P31" s="3703"/>
      <c r="Q31" s="3485">
        <f t="shared" si="11"/>
        <v>111</v>
      </c>
      <c r="R31" s="704" t="s">
        <v>14</v>
      </c>
      <c r="S31" s="705">
        <f t="shared" si="12"/>
        <v>100</v>
      </c>
      <c r="T31" s="704" t="s">
        <v>14</v>
      </c>
      <c r="U31" s="705">
        <f t="shared" si="13"/>
        <v>100</v>
      </c>
      <c r="V31" s="704" t="s">
        <v>14</v>
      </c>
      <c r="W31" s="705">
        <f t="shared" si="14"/>
        <v>100</v>
      </c>
      <c r="X31" s="3483"/>
      <c r="Y31" s="3705"/>
      <c r="Z31" s="3484">
        <f t="shared" si="15"/>
        <v>111</v>
      </c>
      <c r="AA31" s="3486">
        <f t="shared" si="3"/>
        <v>1</v>
      </c>
      <c r="AB31" s="3486">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9"/>
      <c r="M32" s="2713"/>
      <c r="N32" s="2713"/>
      <c r="O32" s="2713"/>
      <c r="P32" s="3703"/>
      <c r="Q32" s="3485">
        <f t="shared" si="11"/>
        <v>111</v>
      </c>
      <c r="R32" s="704" t="s">
        <v>14</v>
      </c>
      <c r="S32" s="705">
        <f t="shared" si="12"/>
        <v>100</v>
      </c>
      <c r="T32" s="704" t="s">
        <v>14</v>
      </c>
      <c r="U32" s="705">
        <f t="shared" si="13"/>
        <v>100</v>
      </c>
      <c r="V32" s="704" t="s">
        <v>14</v>
      </c>
      <c r="W32" s="705">
        <f t="shared" si="14"/>
        <v>100</v>
      </c>
      <c r="X32" s="3483"/>
      <c r="Y32" s="3705"/>
      <c r="Z32" s="3484">
        <f t="shared" si="15"/>
        <v>111</v>
      </c>
      <c r="AA32" s="3486">
        <f t="shared" si="3"/>
        <v>1</v>
      </c>
      <c r="AB32" s="3486">
        <f t="shared" si="4"/>
        <v>1</v>
      </c>
      <c r="AC32" s="1961">
        <f t="shared" si="5"/>
        <v>1</v>
      </c>
    </row>
    <row r="33" spans="1:29" ht="15">
      <c r="A33" s="390" t="s">
        <v>1694</v>
      </c>
      <c r="B33" s="63" t="s">
        <v>1817</v>
      </c>
      <c r="C33" s="1966" t="s">
        <v>3513</v>
      </c>
      <c r="D33" s="417">
        <v>100</v>
      </c>
      <c r="E33" s="1966" t="s">
        <v>3513</v>
      </c>
      <c r="F33" s="411">
        <f>SUMIF(101:101,E33,102:102)-SUMIF(101:101,C33,102:102)+100</f>
        <v>100</v>
      </c>
      <c r="G33" s="1966" t="s">
        <v>3515</v>
      </c>
      <c r="H33" s="385">
        <f>SUMIF(101:101,G33,102:102)-SUMIF(101:101,C33,102:102)+100</f>
        <v>97</v>
      </c>
      <c r="I33" s="1966" t="s">
        <v>3515</v>
      </c>
      <c r="J33" s="417">
        <f>SUMIF(101:101,I33,102:102)-SUMIF(101:101,C33,102:102)+100</f>
        <v>97</v>
      </c>
      <c r="K33" s="560">
        <v>3</v>
      </c>
      <c r="L33" s="2719"/>
      <c r="M33" s="2713"/>
      <c r="N33" s="2713"/>
      <c r="O33" s="2713"/>
      <c r="P33" s="3706" t="s">
        <v>1696</v>
      </c>
      <c r="Q33" s="3485" t="str">
        <f t="shared" si="11"/>
        <v>建筑类型</v>
      </c>
      <c r="R33" s="704" t="s">
        <v>14</v>
      </c>
      <c r="S33" s="705">
        <f t="shared" si="12"/>
        <v>100</v>
      </c>
      <c r="T33" s="704" t="s">
        <v>14</v>
      </c>
      <c r="U33" s="705">
        <f t="shared" si="13"/>
        <v>97</v>
      </c>
      <c r="V33" s="704" t="s">
        <v>14</v>
      </c>
      <c r="W33" s="705">
        <f t="shared" si="14"/>
        <v>97</v>
      </c>
      <c r="X33" s="3483"/>
      <c r="Y33" s="3709" t="s">
        <v>1696</v>
      </c>
      <c r="Z33" s="3484" t="str">
        <f t="shared" si="15"/>
        <v>建筑类型</v>
      </c>
      <c r="AA33" s="3486">
        <f t="shared" si="3"/>
        <v>1</v>
      </c>
      <c r="AB33" s="3486">
        <f t="shared" si="4"/>
        <v>1.0309278350515463</v>
      </c>
      <c r="AC33" s="1961">
        <f t="shared" si="5"/>
        <v>1.0309278350515463</v>
      </c>
    </row>
    <row r="34" spans="1:29" s="421" customFormat="1" ht="15">
      <c r="A34" s="418"/>
      <c r="B34" s="374" t="s">
        <v>1697</v>
      </c>
      <c r="C34" s="419">
        <f>'数据-汇总表'!E3</f>
        <v>174.21</v>
      </c>
      <c r="D34" s="126">
        <v>100</v>
      </c>
      <c r="E34" s="419">
        <v>140</v>
      </c>
      <c r="F34" s="375">
        <f>LOOKUP(E34,104:104,105:105)-LOOKUP(C34,104:104,105:105)+100</f>
        <v>100</v>
      </c>
      <c r="G34" s="419">
        <v>400</v>
      </c>
      <c r="H34" s="126">
        <f>LOOKUP(G34,104:104,105:105)-LOOKUP(C34,104:104,105:105)+100</f>
        <v>99</v>
      </c>
      <c r="I34" s="419">
        <v>140</v>
      </c>
      <c r="J34" s="126">
        <f>LOOKUP(I34,104:104,105:105)-LOOKUP(C34,104:104,105:105)+100</f>
        <v>100</v>
      </c>
      <c r="K34" s="561"/>
      <c r="L34" s="2718"/>
      <c r="M34" s="2720"/>
      <c r="N34" s="2720"/>
      <c r="O34" s="2720"/>
      <c r="P34" s="3707"/>
      <c r="Q34" s="706" t="str">
        <f t="shared" si="11"/>
        <v>项目建筑规模</v>
      </c>
      <c r="R34" s="707" t="s">
        <v>14</v>
      </c>
      <c r="S34" s="708">
        <f t="shared" si="12"/>
        <v>100</v>
      </c>
      <c r="T34" s="707" t="s">
        <v>14</v>
      </c>
      <c r="U34" s="708">
        <f t="shared" si="13"/>
        <v>99</v>
      </c>
      <c r="V34" s="707" t="s">
        <v>14</v>
      </c>
      <c r="W34" s="708">
        <f t="shared" si="14"/>
        <v>100</v>
      </c>
      <c r="X34" s="709"/>
      <c r="Y34" s="3709"/>
      <c r="Z34" s="710" t="str">
        <f t="shared" si="15"/>
        <v>项目建筑规模</v>
      </c>
      <c r="AA34" s="3486">
        <f t="shared" si="3"/>
        <v>1</v>
      </c>
      <c r="AB34" s="3486">
        <f t="shared" si="4"/>
        <v>1.0101010101010102</v>
      </c>
      <c r="AC34" s="1961">
        <f t="shared" si="5"/>
        <v>1</v>
      </c>
    </row>
    <row r="35" spans="1:29" ht="15">
      <c r="A35" s="422"/>
      <c r="B35" s="374" t="s">
        <v>1698</v>
      </c>
      <c r="C35" s="410" t="s">
        <v>3437</v>
      </c>
      <c r="D35" s="385">
        <v>100</v>
      </c>
      <c r="E35" s="410" t="s">
        <v>3437</v>
      </c>
      <c r="F35" s="411">
        <f>SUMIF(106:106,E35,107:107)-SUMIF(106:106,C35,107:107)+100</f>
        <v>100</v>
      </c>
      <c r="G35" s="410" t="s">
        <v>3437</v>
      </c>
      <c r="H35" s="385">
        <f>SUMIF(106:106,G35,107:107)-SUMIF(106:106,C35,107:107)+100</f>
        <v>100</v>
      </c>
      <c r="I35" s="410" t="s">
        <v>3437</v>
      </c>
      <c r="J35" s="385">
        <f>SUMIF(106:106,I35,107:107)-SUMIF(106:106,C35,107:107)+100</f>
        <v>100</v>
      </c>
      <c r="K35" s="560">
        <v>1</v>
      </c>
      <c r="L35" s="2719"/>
      <c r="M35" s="2713"/>
      <c r="N35" s="2713"/>
      <c r="O35" s="2713"/>
      <c r="P35" s="3707"/>
      <c r="Q35" s="3485" t="str">
        <f t="shared" si="11"/>
        <v>建筑结构</v>
      </c>
      <c r="R35" s="704" t="s">
        <v>14</v>
      </c>
      <c r="S35" s="705">
        <f t="shared" si="12"/>
        <v>100</v>
      </c>
      <c r="T35" s="704" t="s">
        <v>14</v>
      </c>
      <c r="U35" s="705">
        <f t="shared" si="13"/>
        <v>100</v>
      </c>
      <c r="V35" s="704" t="s">
        <v>14</v>
      </c>
      <c r="W35" s="705">
        <f t="shared" si="14"/>
        <v>100</v>
      </c>
      <c r="X35" s="3483"/>
      <c r="Y35" s="3709"/>
      <c r="Z35" s="3484" t="str">
        <f t="shared" si="15"/>
        <v>建筑结构</v>
      </c>
      <c r="AA35" s="3486">
        <f t="shared" si="3"/>
        <v>1</v>
      </c>
      <c r="AB35" s="3486">
        <f t="shared" si="4"/>
        <v>1</v>
      </c>
      <c r="AC35" s="1961">
        <f t="shared" si="5"/>
        <v>1</v>
      </c>
    </row>
    <row r="36" spans="1:29" ht="15">
      <c r="A36" s="422"/>
      <c r="B36" s="374" t="s">
        <v>1785</v>
      </c>
      <c r="C36" s="410" t="s">
        <v>3465</v>
      </c>
      <c r="D36" s="385">
        <v>100</v>
      </c>
      <c r="E36" s="410" t="s">
        <v>3465</v>
      </c>
      <c r="F36" s="411">
        <f>SUMIF(108:108,E36,109:109)-SUMIF(108:108,C36,109:109)+100</f>
        <v>100</v>
      </c>
      <c r="G36" s="410" t="s">
        <v>3465</v>
      </c>
      <c r="H36" s="385">
        <f>SUMIF(108:108,G36,109:109)-SUMIF(108:108,C36,109:109)+100</f>
        <v>100</v>
      </c>
      <c r="I36" s="410" t="s">
        <v>3465</v>
      </c>
      <c r="J36" s="385">
        <f>SUMIF(108:108,I36,109:109)-SUMIF(108:108,C36,109:109)+100</f>
        <v>100</v>
      </c>
      <c r="K36" s="560">
        <v>2</v>
      </c>
      <c r="L36" s="2719"/>
      <c r="M36" s="2713"/>
      <c r="N36" s="2713"/>
      <c r="O36" s="2713"/>
      <c r="P36" s="3707"/>
      <c r="Q36" s="3485" t="str">
        <f t="shared" si="11"/>
        <v>公共部分装修</v>
      </c>
      <c r="R36" s="704" t="s">
        <v>14</v>
      </c>
      <c r="S36" s="705">
        <f t="shared" si="12"/>
        <v>100</v>
      </c>
      <c r="T36" s="704" t="s">
        <v>14</v>
      </c>
      <c r="U36" s="705">
        <f t="shared" si="13"/>
        <v>100</v>
      </c>
      <c r="V36" s="704" t="s">
        <v>14</v>
      </c>
      <c r="W36" s="705">
        <f t="shared" si="14"/>
        <v>100</v>
      </c>
      <c r="X36" s="3483"/>
      <c r="Y36" s="3709"/>
      <c r="Z36" s="3484" t="str">
        <f t="shared" si="15"/>
        <v>公共部分装修</v>
      </c>
      <c r="AA36" s="3486">
        <f t="shared" si="3"/>
        <v>1</v>
      </c>
      <c r="AB36" s="3486">
        <f t="shared" si="4"/>
        <v>1</v>
      </c>
      <c r="AC36" s="1961">
        <f t="shared" si="5"/>
        <v>1</v>
      </c>
    </row>
    <row r="37" spans="1:29" ht="15">
      <c r="A37" s="422"/>
      <c r="B37" s="374" t="s">
        <v>1786</v>
      </c>
      <c r="C37" s="424">
        <f>'数据-取费表'!N6</f>
        <v>0.72</v>
      </c>
      <c r="D37" s="385">
        <v>100</v>
      </c>
      <c r="E37" s="424">
        <f>C37</f>
        <v>0.72</v>
      </c>
      <c r="F37" s="411">
        <f>LOOKUP(E37,111:111,112:112)-LOOKUP(C37,111:111,112:112)+100</f>
        <v>100</v>
      </c>
      <c r="G37" s="424">
        <f>C37</f>
        <v>0.72</v>
      </c>
      <c r="H37" s="411">
        <f>LOOKUP(G37,111:111,112:112)-LOOKUP(C37,111:111,112:112)+100</f>
        <v>100</v>
      </c>
      <c r="I37" s="424">
        <f>C37</f>
        <v>0.72</v>
      </c>
      <c r="J37" s="385">
        <f>LOOKUP(I37,111:111,112:112)-LOOKUP(C37,111:111,112:112)+100</f>
        <v>100</v>
      </c>
      <c r="K37" s="560">
        <v>1</v>
      </c>
      <c r="L37" s="2719"/>
      <c r="M37" s="2713"/>
      <c r="N37" s="2713"/>
      <c r="O37" s="2713"/>
      <c r="P37" s="3707"/>
      <c r="Q37" s="3485" t="str">
        <f t="shared" si="11"/>
        <v>成新度</v>
      </c>
      <c r="R37" s="704" t="s">
        <v>14</v>
      </c>
      <c r="S37" s="705">
        <f t="shared" si="12"/>
        <v>100</v>
      </c>
      <c r="T37" s="704" t="s">
        <v>14</v>
      </c>
      <c r="U37" s="705">
        <f t="shared" si="13"/>
        <v>100</v>
      </c>
      <c r="V37" s="704" t="s">
        <v>14</v>
      </c>
      <c r="W37" s="705">
        <f t="shared" si="14"/>
        <v>100</v>
      </c>
      <c r="X37" s="3483"/>
      <c r="Y37" s="3709"/>
      <c r="Z37" s="3484" t="str">
        <f t="shared" si="15"/>
        <v>成新度</v>
      </c>
      <c r="AA37" s="3486">
        <f t="shared" si="3"/>
        <v>1</v>
      </c>
      <c r="AB37" s="3486">
        <f t="shared" si="4"/>
        <v>1</v>
      </c>
      <c r="AC37" s="1961">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07"/>
      <c r="Q38" s="3482" t="str">
        <f t="shared" si="11"/>
        <v>写字楼等级</v>
      </c>
      <c r="R38" s="700" t="s">
        <v>14</v>
      </c>
      <c r="S38" s="701">
        <f t="shared" si="12"/>
        <v>100</v>
      </c>
      <c r="T38" s="700" t="s">
        <v>14</v>
      </c>
      <c r="U38" s="701">
        <f t="shared" si="13"/>
        <v>100</v>
      </c>
      <c r="V38" s="700" t="s">
        <v>14</v>
      </c>
      <c r="W38" s="701">
        <f t="shared" si="14"/>
        <v>100</v>
      </c>
      <c r="X38" s="702"/>
      <c r="Y38" s="3709"/>
      <c r="Z38" s="3481" t="str">
        <f t="shared" si="15"/>
        <v>写字楼等级</v>
      </c>
      <c r="AA38" s="703">
        <f t="shared" si="3"/>
        <v>1</v>
      </c>
      <c r="AB38" s="703">
        <f t="shared" si="4"/>
        <v>1</v>
      </c>
      <c r="AC38" s="1958">
        <f t="shared" si="5"/>
        <v>1</v>
      </c>
    </row>
    <row r="39" spans="1:29" ht="15" hidden="1">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v>0</v>
      </c>
      <c r="L39" s="2719"/>
      <c r="M39" s="2713"/>
      <c r="N39" s="2713"/>
      <c r="O39" s="2713"/>
      <c r="P39" s="3707" t="s">
        <v>1696</v>
      </c>
      <c r="Q39" s="3485" t="str">
        <f t="shared" si="11"/>
        <v>物业管理</v>
      </c>
      <c r="R39" s="704" t="s">
        <v>14</v>
      </c>
      <c r="S39" s="705">
        <f t="shared" si="12"/>
        <v>100</v>
      </c>
      <c r="T39" s="704" t="s">
        <v>14</v>
      </c>
      <c r="U39" s="705">
        <f t="shared" si="13"/>
        <v>100</v>
      </c>
      <c r="V39" s="704" t="s">
        <v>14</v>
      </c>
      <c r="W39" s="705">
        <f t="shared" si="14"/>
        <v>100</v>
      </c>
      <c r="X39" s="3483"/>
      <c r="Y39" s="3709" t="s">
        <v>1696</v>
      </c>
      <c r="Z39" s="3484" t="str">
        <f t="shared" si="15"/>
        <v>物业管理</v>
      </c>
      <c r="AA39" s="3486">
        <f t="shared" si="3"/>
        <v>1</v>
      </c>
      <c r="AB39" s="3486">
        <f t="shared" si="4"/>
        <v>1</v>
      </c>
      <c r="AC39" s="1961">
        <f t="shared" si="5"/>
        <v>1</v>
      </c>
    </row>
    <row r="40" spans="1:29" ht="15" hidden="1">
      <c r="A40" s="422"/>
      <c r="B40" s="374" t="s">
        <v>1787</v>
      </c>
      <c r="C40" s="410" t="s">
        <v>3476</v>
      </c>
      <c r="D40" s="385">
        <v>100</v>
      </c>
      <c r="E40" s="410" t="s">
        <v>3476</v>
      </c>
      <c r="F40" s="411">
        <f>SUMIF(117:117,E40,118:118)-SUMIF(117:117,C40,118:118)+100</f>
        <v>100</v>
      </c>
      <c r="G40" s="410" t="s">
        <v>3476</v>
      </c>
      <c r="H40" s="385">
        <f>SUMIF(117:117,G40,118:118)-SUMIF(117:117,C40,118:118)+100</f>
        <v>100</v>
      </c>
      <c r="I40" s="410" t="s">
        <v>3476</v>
      </c>
      <c r="J40" s="385">
        <f>SUMIF(117:117,I40,118:118)-SUMIF(117:117,C40,118:118)+100</f>
        <v>100</v>
      </c>
      <c r="K40" s="560"/>
      <c r="L40" s="2719"/>
      <c r="M40" s="2713"/>
      <c r="N40" s="2713"/>
      <c r="O40" s="2713"/>
      <c r="P40" s="3707"/>
      <c r="Q40" s="3485" t="str">
        <f t="shared" si="11"/>
        <v>市政基础设施</v>
      </c>
      <c r="R40" s="704" t="s">
        <v>14</v>
      </c>
      <c r="S40" s="705">
        <f t="shared" si="12"/>
        <v>100</v>
      </c>
      <c r="T40" s="704" t="s">
        <v>14</v>
      </c>
      <c r="U40" s="705">
        <f t="shared" si="13"/>
        <v>100</v>
      </c>
      <c r="V40" s="704" t="s">
        <v>14</v>
      </c>
      <c r="W40" s="705">
        <f t="shared" si="14"/>
        <v>100</v>
      </c>
      <c r="X40" s="3483"/>
      <c r="Y40" s="3709"/>
      <c r="Z40" s="3484" t="str">
        <f t="shared" si="15"/>
        <v>市政基础设施</v>
      </c>
      <c r="AA40" s="3486">
        <f t="shared" si="3"/>
        <v>1</v>
      </c>
      <c r="AB40" s="3486">
        <f t="shared" si="4"/>
        <v>1</v>
      </c>
      <c r="AC40" s="1961">
        <f t="shared" si="5"/>
        <v>1</v>
      </c>
    </row>
    <row r="41" spans="1:29" ht="15" hidden="1">
      <c r="A41" s="422"/>
      <c r="B41" s="374" t="s">
        <v>1789</v>
      </c>
      <c r="C41" s="564" t="s">
        <v>3472</v>
      </c>
      <c r="D41" s="385">
        <v>100</v>
      </c>
      <c r="E41" s="564" t="s">
        <v>3472</v>
      </c>
      <c r="F41" s="411">
        <f>SUMIF(119:119,E41,120:120)-SUMIF(119:119,C41,120:120)+100</f>
        <v>100</v>
      </c>
      <c r="G41" s="564" t="s">
        <v>3472</v>
      </c>
      <c r="H41" s="385">
        <f>SUMIF(119:119,G41,120:120)-SUMIF(119:119,C41,120:120)+100</f>
        <v>100</v>
      </c>
      <c r="I41" s="564" t="s">
        <v>3472</v>
      </c>
      <c r="J41" s="385">
        <f>SUMIF(119:119,I41,120:120)-SUMIF(119:119,C41,120:120)+100</f>
        <v>100</v>
      </c>
      <c r="K41" s="560">
        <v>0</v>
      </c>
      <c r="L41" s="2719"/>
      <c r="M41" s="2713"/>
      <c r="N41" s="2713"/>
      <c r="O41" s="2713"/>
      <c r="P41" s="3707"/>
      <c r="Q41" s="3485" t="str">
        <f t="shared" si="11"/>
        <v>层高</v>
      </c>
      <c r="R41" s="704" t="s">
        <v>14</v>
      </c>
      <c r="S41" s="705">
        <f t="shared" si="12"/>
        <v>100</v>
      </c>
      <c r="T41" s="704" t="s">
        <v>14</v>
      </c>
      <c r="U41" s="705">
        <f t="shared" si="13"/>
        <v>100</v>
      </c>
      <c r="V41" s="704" t="s">
        <v>14</v>
      </c>
      <c r="W41" s="705">
        <f t="shared" si="14"/>
        <v>100</v>
      </c>
      <c r="X41" s="3483"/>
      <c r="Y41" s="3709"/>
      <c r="Z41" s="3484" t="str">
        <f t="shared" si="15"/>
        <v>层高</v>
      </c>
      <c r="AA41" s="3486">
        <f t="shared" si="3"/>
        <v>1</v>
      </c>
      <c r="AB41" s="3486">
        <f t="shared" si="4"/>
        <v>1</v>
      </c>
      <c r="AC41" s="1961">
        <f t="shared" si="5"/>
        <v>1</v>
      </c>
    </row>
    <row r="42" spans="1:29" s="421" customFormat="1" ht="15" hidden="1">
      <c r="A42" s="418"/>
      <c r="B42" s="3487"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07"/>
      <c r="Q42" s="706" t="str">
        <f t="shared" si="11"/>
        <v>单套建筑面积</v>
      </c>
      <c r="R42" s="707" t="s">
        <v>14</v>
      </c>
      <c r="S42" s="708">
        <f t="shared" si="12"/>
        <v>100</v>
      </c>
      <c r="T42" s="707" t="s">
        <v>14</v>
      </c>
      <c r="U42" s="708">
        <f t="shared" si="13"/>
        <v>100</v>
      </c>
      <c r="V42" s="707" t="s">
        <v>14</v>
      </c>
      <c r="W42" s="708">
        <f t="shared" si="14"/>
        <v>100</v>
      </c>
      <c r="X42" s="709"/>
      <c r="Y42" s="3709"/>
      <c r="Z42" s="710" t="str">
        <f t="shared" si="15"/>
        <v>单套建筑面积</v>
      </c>
      <c r="AA42" s="3486">
        <f t="shared" si="3"/>
        <v>1</v>
      </c>
      <c r="AB42" s="3486">
        <f t="shared" si="4"/>
        <v>1</v>
      </c>
      <c r="AC42" s="1961">
        <f t="shared" si="5"/>
        <v>1</v>
      </c>
    </row>
    <row r="43" spans="1:29" ht="15">
      <c r="A43" s="422"/>
      <c r="B43" s="374" t="s">
        <v>1792</v>
      </c>
      <c r="C43" s="410" t="s">
        <v>3467</v>
      </c>
      <c r="D43" s="385">
        <v>100</v>
      </c>
      <c r="E43" s="410" t="s">
        <v>3469</v>
      </c>
      <c r="F43" s="411">
        <f>SUMIF(123:123,E43,124:124)-SUMIF(123:123,C43,124:124)+100</f>
        <v>98</v>
      </c>
      <c r="G43" s="410" t="s">
        <v>3469</v>
      </c>
      <c r="H43" s="385">
        <f>SUMIF(123:123,G43,124:124)-SUMIF(123:123,C43,124:124)+100</f>
        <v>98</v>
      </c>
      <c r="I43" s="410" t="s">
        <v>3469</v>
      </c>
      <c r="J43" s="385">
        <f>SUMIF(123:123,I43,124:124)-SUMIF(123:123,C43,124:124)+100</f>
        <v>98</v>
      </c>
      <c r="K43" s="560">
        <v>2</v>
      </c>
      <c r="L43" s="2719"/>
      <c r="M43" s="2713"/>
      <c r="N43" s="2713"/>
      <c r="O43" s="2713"/>
      <c r="P43" s="3707"/>
      <c r="Q43" s="3485" t="str">
        <f t="shared" si="11"/>
        <v>内部装修</v>
      </c>
      <c r="R43" s="704" t="s">
        <v>14</v>
      </c>
      <c r="S43" s="705">
        <f t="shared" si="12"/>
        <v>98</v>
      </c>
      <c r="T43" s="704" t="s">
        <v>14</v>
      </c>
      <c r="U43" s="705">
        <f t="shared" si="13"/>
        <v>98</v>
      </c>
      <c r="V43" s="704" t="s">
        <v>14</v>
      </c>
      <c r="W43" s="705">
        <f t="shared" si="14"/>
        <v>98</v>
      </c>
      <c r="X43" s="3483"/>
      <c r="Y43" s="3709"/>
      <c r="Z43" s="3484" t="str">
        <f t="shared" si="15"/>
        <v>内部装修</v>
      </c>
      <c r="AA43" s="3486">
        <f t="shared" si="3"/>
        <v>1.0204081632653061</v>
      </c>
      <c r="AB43" s="3486">
        <f t="shared" si="4"/>
        <v>1.0204081632653061</v>
      </c>
      <c r="AC43" s="1961">
        <f t="shared" si="5"/>
        <v>1.0204081632653061</v>
      </c>
    </row>
    <row r="44" spans="1:29" ht="15">
      <c r="A44" s="422"/>
      <c r="B44" s="374" t="s">
        <v>1707</v>
      </c>
      <c r="C44" s="410" t="s">
        <v>3412</v>
      </c>
      <c r="D44" s="385">
        <v>100</v>
      </c>
      <c r="E44" s="410" t="s">
        <v>3412</v>
      </c>
      <c r="F44" s="411">
        <f>SUMIF(125:125,E44,126:126)-SUMIF(125:125,C44,126:126)+100</f>
        <v>100</v>
      </c>
      <c r="G44" s="410" t="s">
        <v>3412</v>
      </c>
      <c r="H44" s="385">
        <f>SUMIF(125:125,G44,126:126)-SUMIF(125:125,C44,126:126)+100</f>
        <v>100</v>
      </c>
      <c r="I44" s="410" t="s">
        <v>3412</v>
      </c>
      <c r="J44" s="385">
        <f>SUMIF(125:125,I44,126:126)-SUMIF(125:125,C44,126:126)+100</f>
        <v>100</v>
      </c>
      <c r="K44" s="560">
        <v>1</v>
      </c>
      <c r="L44" s="2719"/>
      <c r="M44" s="2713"/>
      <c r="N44" s="2713"/>
      <c r="O44" s="2713"/>
      <c r="P44" s="3707"/>
      <c r="Q44" s="3485" t="str">
        <f t="shared" si="11"/>
        <v>内部装修维护情况</v>
      </c>
      <c r="R44" s="704" t="s">
        <v>14</v>
      </c>
      <c r="S44" s="705">
        <f t="shared" si="12"/>
        <v>100</v>
      </c>
      <c r="T44" s="704" t="s">
        <v>14</v>
      </c>
      <c r="U44" s="705">
        <f t="shared" si="13"/>
        <v>100</v>
      </c>
      <c r="V44" s="704" t="s">
        <v>14</v>
      </c>
      <c r="W44" s="705">
        <f t="shared" si="14"/>
        <v>100</v>
      </c>
      <c r="X44" s="3483"/>
      <c r="Y44" s="3709"/>
      <c r="Z44" s="3484" t="str">
        <f t="shared" si="15"/>
        <v>内部装修维护情况</v>
      </c>
      <c r="AA44" s="3486">
        <f t="shared" si="3"/>
        <v>1</v>
      </c>
      <c r="AB44" s="3486">
        <f t="shared" si="4"/>
        <v>1</v>
      </c>
      <c r="AC44" s="1961">
        <f t="shared" si="5"/>
        <v>1</v>
      </c>
    </row>
    <row r="45" spans="1:29" s="107" customFormat="1" ht="15">
      <c r="A45" s="423"/>
      <c r="B45" s="1132">
        <v>111</v>
      </c>
      <c r="C45" s="3493"/>
      <c r="D45" s="126">
        <v>100</v>
      </c>
      <c r="E45" s="3492"/>
      <c r="F45" s="375">
        <f>SUMIF(127:127,E45,128:128)-SUMIF(127:127,C45,128:128)+100</f>
        <v>100</v>
      </c>
      <c r="G45" s="3492"/>
      <c r="H45" s="126">
        <f>SUMIF(127:127,G45,128:128)-SUMIF(127:127,C45,128:128)+100</f>
        <v>100</v>
      </c>
      <c r="I45" s="3492"/>
      <c r="J45" s="126">
        <f>SUMIF(127:127,I45,128:128)-SUMIF(127:127,C45,128:128)+100</f>
        <v>100</v>
      </c>
      <c r="K45" s="561"/>
      <c r="L45" s="2714"/>
      <c r="M45" s="2715"/>
      <c r="N45" s="2715"/>
      <c r="O45" s="2715"/>
      <c r="P45" s="3707"/>
      <c r="Q45" s="3482">
        <f t="shared" si="11"/>
        <v>111</v>
      </c>
      <c r="R45" s="700" t="s">
        <v>14</v>
      </c>
      <c r="S45" s="701">
        <f t="shared" si="12"/>
        <v>100</v>
      </c>
      <c r="T45" s="700" t="s">
        <v>14</v>
      </c>
      <c r="U45" s="701">
        <f t="shared" si="13"/>
        <v>100</v>
      </c>
      <c r="V45" s="700" t="s">
        <v>14</v>
      </c>
      <c r="W45" s="701">
        <f t="shared" si="14"/>
        <v>100</v>
      </c>
      <c r="X45" s="702"/>
      <c r="Y45" s="3709"/>
      <c r="Z45" s="348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07"/>
      <c r="Q46" s="3485">
        <f t="shared" si="11"/>
        <v>111</v>
      </c>
      <c r="R46" s="704" t="s">
        <v>14</v>
      </c>
      <c r="S46" s="705">
        <f t="shared" si="12"/>
        <v>100</v>
      </c>
      <c r="T46" s="704" t="s">
        <v>14</v>
      </c>
      <c r="U46" s="705">
        <f t="shared" si="13"/>
        <v>100</v>
      </c>
      <c r="V46" s="704" t="s">
        <v>14</v>
      </c>
      <c r="W46" s="705">
        <f t="shared" si="14"/>
        <v>100</v>
      </c>
      <c r="X46" s="3483"/>
      <c r="Y46" s="3709"/>
      <c r="Z46" s="3484">
        <f t="shared" si="15"/>
        <v>111</v>
      </c>
      <c r="AA46" s="3486">
        <f t="shared" si="3"/>
        <v>1</v>
      </c>
      <c r="AB46" s="3486">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08"/>
      <c r="Q47" s="3485">
        <f t="shared" si="11"/>
        <v>111</v>
      </c>
      <c r="R47" s="704" t="s">
        <v>14</v>
      </c>
      <c r="S47" s="705">
        <f t="shared" si="12"/>
        <v>100</v>
      </c>
      <c r="T47" s="704" t="s">
        <v>14</v>
      </c>
      <c r="U47" s="705">
        <f t="shared" si="13"/>
        <v>100</v>
      </c>
      <c r="V47" s="704" t="s">
        <v>14</v>
      </c>
      <c r="W47" s="705">
        <f t="shared" si="14"/>
        <v>100</v>
      </c>
      <c r="X47" s="3483"/>
      <c r="Y47" s="3710"/>
      <c r="Z47" s="3484">
        <f t="shared" si="15"/>
        <v>111</v>
      </c>
      <c r="AA47" s="3486">
        <f t="shared" si="3"/>
        <v>1</v>
      </c>
      <c r="AB47" s="3486">
        <f t="shared" si="4"/>
        <v>1</v>
      </c>
      <c r="AC47" s="1961">
        <f t="shared" si="5"/>
        <v>1</v>
      </c>
    </row>
    <row r="48" spans="1:29" ht="15">
      <c r="A48" s="429" t="s">
        <v>1708</v>
      </c>
      <c r="B48" s="430"/>
      <c r="C48" s="1153" t="s">
        <v>0</v>
      </c>
      <c r="D48" s="1154"/>
      <c r="E48" s="1155">
        <f>ROUND(1.85*(1+5%),2)</f>
        <v>1.94</v>
      </c>
      <c r="F48" s="1156"/>
      <c r="G48" s="1155">
        <f>ROUND(1.8*(1+5%),2)</f>
        <v>1.89</v>
      </c>
      <c r="H48" s="1158"/>
      <c r="I48" s="1155">
        <f>ROUND(1.85*(1+5%),2)</f>
        <v>1.94</v>
      </c>
      <c r="J48" s="435"/>
      <c r="K48" s="713"/>
      <c r="L48" s="2721"/>
      <c r="M48" s="2713"/>
      <c r="N48" s="2713"/>
      <c r="O48" s="2713"/>
      <c r="P48" s="3712" t="str">
        <f>A48</f>
        <v>成交单价（元/平方米）</v>
      </c>
      <c r="Q48" s="3697"/>
      <c r="R48" s="3698">
        <f>E48</f>
        <v>1.94</v>
      </c>
      <c r="S48" s="3698"/>
      <c r="T48" s="3698">
        <f>G48</f>
        <v>1.89</v>
      </c>
      <c r="U48" s="3698"/>
      <c r="V48" s="3698">
        <f>I48</f>
        <v>1.94</v>
      </c>
      <c r="W48" s="3698"/>
      <c r="X48" s="396"/>
      <c r="Y48" s="711"/>
      <c r="Z48" s="396"/>
      <c r="AA48" s="396"/>
      <c r="AB48" s="396"/>
      <c r="AC48" s="577"/>
    </row>
    <row r="49" spans="1:29" ht="15.75" thickBot="1">
      <c r="A49" s="436" t="s">
        <v>1709</v>
      </c>
      <c r="B49" s="437"/>
      <c r="C49" s="1159">
        <f>R50</f>
        <v>1.9</v>
      </c>
      <c r="D49" s="2316" t="s">
        <v>2138</v>
      </c>
      <c r="E49" s="1160">
        <f>R49</f>
        <v>1.8</v>
      </c>
      <c r="F49" s="2317"/>
      <c r="G49" s="1159">
        <f>T49</f>
        <v>2</v>
      </c>
      <c r="H49" s="2317"/>
      <c r="I49" s="1160">
        <f>V49</f>
        <v>1.9</v>
      </c>
      <c r="J49" s="2317"/>
      <c r="K49" s="2319">
        <f>F49+H49+J49</f>
        <v>0</v>
      </c>
      <c r="L49" s="2721"/>
      <c r="M49" s="2713"/>
      <c r="N49" s="2713"/>
      <c r="O49" s="2713"/>
      <c r="P49" s="3712" t="str">
        <f>A49</f>
        <v>比较价值（元/平方米）</v>
      </c>
      <c r="Q49" s="3697"/>
      <c r="R49" s="3698">
        <f>IF(F1="售价",ROUND(PRODUCT(R48,AA7:AA47),0),ROUND(PRODUCT(R48,AA7:AA47),1))</f>
        <v>1.8</v>
      </c>
      <c r="S49" s="3698"/>
      <c r="T49" s="3698">
        <f>IF(F1="售价",ROUND(PRODUCT(T48,AB7:AB47),0),ROUND(PRODUCT(T48,AB7:AB47),1))</f>
        <v>2</v>
      </c>
      <c r="U49" s="3698"/>
      <c r="V49" s="3698">
        <f>IF(F1="售价",ROUND(PRODUCT(V48,AC7:AC47),0),ROUND(PRODUCT(V48,AC7:AC47),1))</f>
        <v>1.9</v>
      </c>
      <c r="W49" s="3698"/>
      <c r="X49" s="396"/>
      <c r="Y49" s="396"/>
      <c r="Z49" s="396"/>
      <c r="AA49" s="396"/>
      <c r="AB49" s="396"/>
      <c r="AC49" s="577"/>
    </row>
    <row r="50" spans="1:29" ht="15.75" thickBot="1">
      <c r="A50" s="440" t="s">
        <v>1794</v>
      </c>
      <c r="B50" s="441"/>
      <c r="C50" s="1162">
        <f>R50</f>
        <v>1.9</v>
      </c>
      <c r="D50" s="1162"/>
      <c r="E50" s="1162"/>
      <c r="F50" s="1162"/>
      <c r="G50" s="1162"/>
      <c r="H50" s="1162"/>
      <c r="I50" s="1162"/>
      <c r="J50" s="442"/>
      <c r="K50" s="714"/>
      <c r="L50" s="2721"/>
      <c r="M50" s="2713"/>
      <c r="N50" s="2713"/>
      <c r="O50" s="2713"/>
      <c r="P50" s="3767" t="str">
        <f>A50</f>
        <v>估价对象XX用房的比较价值（楼面单价，元/平方米）</v>
      </c>
      <c r="Q50" s="3768"/>
      <c r="R50" s="3769">
        <f>IF(F1="售价",ROUND(IF(D49="简单平均",AVERAGE(R49:V49),R49*F49+T49*H49+V49*J49),0),ROUND(IF(D49="简单平均",AVERAGE(R49:V49),R49*F49+T49*H49+V49*J49),1))</f>
        <v>1.9</v>
      </c>
      <c r="S50" s="3769"/>
      <c r="T50" s="3769"/>
      <c r="U50" s="3769"/>
      <c r="V50" s="3769"/>
      <c r="W50" s="376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f>IF(E48&lt;E49,E49/E48-1,E48/E49-1)</f>
        <v>7.7777777777777724E-2</v>
      </c>
      <c r="F53" s="448" t="str">
        <f>IF(OR(E53&gt;=0.3,E53&lt;=-0.3),"超过30%","")</f>
        <v/>
      </c>
      <c r="G53" s="447">
        <f>IF(G48&lt;G49,G49/G48-1,G48/G49-1)</f>
        <v>5.8201058201058364E-2</v>
      </c>
      <c r="H53" s="448" t="str">
        <f>IF(OR(G53&gt;=0.3,G53&lt;=-0.3),"超过30%","")</f>
        <v/>
      </c>
      <c r="I53" s="447">
        <f>IF(I48&lt;I49,I49/I48-1,I48/I49-1)</f>
        <v>2.1052631578947434E-2</v>
      </c>
      <c r="J53" s="448"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f>IF(E49&lt;G49,G49/E49-1,E49/G49-1)</f>
        <v>0.11111111111111116</v>
      </c>
      <c r="F54" s="448" t="str">
        <f>IF(OR(E54&gt;=0.2,E54&lt;=-0.2),"超过20%","")</f>
        <v/>
      </c>
      <c r="G54" s="447">
        <f>IF(G49&lt;I49,I49/G49-1,G49/I49-1)</f>
        <v>5.2631578947368363E-2</v>
      </c>
      <c r="H54" s="448" t="str">
        <f>IF(OR(G54&gt;=0.2,G54&lt;=-0.2),"超过20%","")</f>
        <v/>
      </c>
      <c r="I54" s="447">
        <f>IF(I49&lt;E49,E49/I49-1,I49/E49-1)</f>
        <v>5.555555555555558E-2</v>
      </c>
      <c r="J54" s="448"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1713</v>
      </c>
      <c r="D55" s="449"/>
      <c r="E55" s="447">
        <f>IF(E48&lt;G48,G48/E48-1,E48/G48-1)</f>
        <v>2.6455026455026509E-2</v>
      </c>
      <c r="F55" s="448" t="str">
        <f>IF(OR(E55&gt;=0.3,E55&lt;=-0.3),"超过30%","")</f>
        <v/>
      </c>
      <c r="G55" s="447">
        <f>IF(G48&lt;I48,I48/G48-1,G48/I48-1)</f>
        <v>2.6455026455026509E-2</v>
      </c>
      <c r="H55" s="448" t="str">
        <f>IF(OR(G55&gt;=0.3,G55&lt;=-0.3),"超过30%","")</f>
        <v/>
      </c>
      <c r="I55" s="447">
        <f>IF(I48&lt;E48,E48/I48-1,I48/E48-1)</f>
        <v>0</v>
      </c>
      <c r="J55" s="448"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6"/>
      <c r="Q59" s="2738"/>
      <c r="R59" s="2738"/>
      <c r="S59" s="2738"/>
      <c r="T59" s="2738"/>
      <c r="U59" s="2738"/>
      <c r="V59" s="2738"/>
      <c r="W59" s="2738"/>
      <c r="X59" s="2738"/>
      <c r="Y59" s="2738"/>
      <c r="Z59" s="2738"/>
      <c r="AA59" s="2738"/>
      <c r="AB59" s="2738"/>
      <c r="AC59" s="2738"/>
    </row>
    <row r="60" spans="1:29" s="107" customFormat="1" ht="15">
      <c r="A60" s="457"/>
      <c r="B60" s="458"/>
      <c r="C60" s="1182">
        <v>100</v>
      </c>
      <c r="D60" s="460"/>
      <c r="E60" s="460"/>
      <c r="F60" s="460"/>
      <c r="G60" s="460"/>
      <c r="H60" s="460"/>
      <c r="I60" s="460"/>
      <c r="J60" s="460"/>
      <c r="K60" s="460"/>
      <c r="L60" s="460"/>
      <c r="M60" s="461"/>
      <c r="N60" s="460"/>
      <c r="O60" s="461"/>
      <c r="P60" s="2757"/>
      <c r="Q60" s="2659"/>
      <c r="R60" s="2659"/>
      <c r="S60" s="2659"/>
      <c r="T60" s="2659"/>
      <c r="U60" s="2659"/>
      <c r="V60" s="2659"/>
      <c r="W60" s="2659"/>
      <c r="X60" s="2659"/>
      <c r="Y60" s="2659"/>
      <c r="Z60" s="2659"/>
      <c r="AA60" s="2659"/>
      <c r="AB60" s="2659"/>
      <c r="AC60" s="2659"/>
    </row>
    <row r="61" spans="1:29" s="107" customFormat="1" ht="15.75" thickBot="1">
      <c r="A61" s="463" t="s">
        <v>1716</v>
      </c>
      <c r="B61" s="464"/>
      <c r="C61" s="465"/>
      <c r="D61" s="466"/>
      <c r="E61" s="466"/>
      <c r="F61" s="466"/>
      <c r="G61" s="466"/>
      <c r="H61" s="466"/>
      <c r="I61" s="466"/>
      <c r="J61" s="466"/>
      <c r="K61" s="466"/>
      <c r="L61" s="466"/>
      <c r="M61" s="467"/>
      <c r="N61" s="466"/>
      <c r="O61" s="467"/>
      <c r="P61" s="2757"/>
      <c r="Q61" s="2736"/>
      <c r="R61" s="2659"/>
      <c r="S61" s="2659"/>
      <c r="T61" s="2659"/>
      <c r="U61" s="2659"/>
      <c r="V61" s="2659"/>
      <c r="W61" s="2659"/>
      <c r="X61" s="2659"/>
      <c r="Y61" s="2659"/>
      <c r="Z61" s="2659"/>
      <c r="AA61" s="2659"/>
      <c r="AB61" s="2659"/>
      <c r="AC61" s="2659"/>
    </row>
    <row r="62" spans="1:29" s="107" customFormat="1" ht="15">
      <c r="A62" s="469" t="s">
        <v>1681</v>
      </c>
      <c r="B62" s="458"/>
      <c r="C62" s="470" t="s">
        <v>1776</v>
      </c>
      <c r="D62" s="3477" t="s">
        <v>3453</v>
      </c>
      <c r="E62" s="471"/>
      <c r="F62" s="471"/>
      <c r="G62" s="471"/>
      <c r="H62" s="471"/>
      <c r="I62" s="471"/>
      <c r="J62" s="471"/>
      <c r="K62" s="471"/>
      <c r="L62" s="472"/>
      <c r="M62" s="473"/>
      <c r="N62" s="2749"/>
      <c r="O62" s="2749"/>
      <c r="P62" s="2758"/>
      <c r="Q62" s="2736"/>
      <c r="R62" s="2659"/>
      <c r="S62" s="2659"/>
      <c r="T62" s="2659"/>
      <c r="U62" s="2659"/>
      <c r="V62" s="2659"/>
      <c r="W62" s="2659"/>
      <c r="X62" s="2659"/>
      <c r="Y62" s="2659"/>
      <c r="Z62" s="2659"/>
      <c r="AA62" s="2659"/>
      <c r="AB62" s="2659"/>
      <c r="AC62" s="2659"/>
    </row>
    <row r="63" spans="1:29" s="107" customFormat="1" ht="15.75" thickBot="1">
      <c r="A63" s="469"/>
      <c r="B63" s="458"/>
      <c r="C63" s="459">
        <v>100</v>
      </c>
      <c r="D63" s="460">
        <v>105</v>
      </c>
      <c r="E63" s="460"/>
      <c r="F63" s="460"/>
      <c r="G63" s="460"/>
      <c r="H63" s="460"/>
      <c r="I63" s="460"/>
      <c r="J63" s="460"/>
      <c r="K63" s="460"/>
      <c r="L63" s="460"/>
      <c r="M63" s="462"/>
      <c r="N63" s="2749"/>
      <c r="O63" s="2749"/>
      <c r="P63" s="2757"/>
      <c r="Q63" s="2736"/>
      <c r="R63" s="2659"/>
      <c r="S63" s="2659"/>
      <c r="T63" s="2659"/>
      <c r="U63" s="2659"/>
      <c r="V63" s="2659"/>
      <c r="W63" s="2659"/>
      <c r="X63" s="2659"/>
      <c r="Y63" s="2659"/>
      <c r="Z63" s="2659"/>
      <c r="AA63" s="2659"/>
      <c r="AB63" s="2659"/>
      <c r="AC63" s="2659"/>
    </row>
    <row r="64" spans="1:29">
      <c r="A64" s="475" t="s">
        <v>1719</v>
      </c>
      <c r="B64" s="476" t="s">
        <v>1685</v>
      </c>
      <c r="C64" s="477" t="str">
        <f>C9</f>
        <v>宿舍、办公</v>
      </c>
      <c r="D64" s="3490" t="s">
        <v>3509</v>
      </c>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v>103</v>
      </c>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t="s">
        <v>3432</v>
      </c>
      <c r="D66" s="531" t="s">
        <v>3433</v>
      </c>
      <c r="E66" s="531" t="s">
        <v>3434</v>
      </c>
      <c r="F66" s="531" t="s">
        <v>3435</v>
      </c>
      <c r="G66" s="531" t="s">
        <v>3436</v>
      </c>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v>100</v>
      </c>
      <c r="D67" s="484">
        <v>98</v>
      </c>
      <c r="E67" s="484">
        <v>96</v>
      </c>
      <c r="F67" s="484">
        <v>94</v>
      </c>
      <c r="G67" s="484">
        <v>92</v>
      </c>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1</v>
      </c>
      <c r="E69" s="497">
        <v>2</v>
      </c>
      <c r="F69" s="497">
        <v>3</v>
      </c>
      <c r="G69" s="497">
        <v>4</v>
      </c>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97</v>
      </c>
      <c r="E78" s="492">
        <f>D78-$K15</f>
        <v>94</v>
      </c>
      <c r="F78" s="492">
        <f>E78-$K15</f>
        <v>91</v>
      </c>
      <c r="G78" s="492">
        <f>F78-$K15</f>
        <v>88</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98</v>
      </c>
      <c r="E80" s="492">
        <f>D80-$K17</f>
        <v>96</v>
      </c>
      <c r="F80" s="492">
        <f>E80-$K17</f>
        <v>94</v>
      </c>
      <c r="G80" s="492">
        <f>F80-$K17</f>
        <v>92</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98</v>
      </c>
      <c r="E82" s="492">
        <f>D82-$K19</f>
        <v>96</v>
      </c>
      <c r="F82" s="492">
        <f>E82-$K19</f>
        <v>94</v>
      </c>
      <c r="G82" s="492">
        <f>F82-$K19</f>
        <v>92</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98</v>
      </c>
      <c r="E84" s="492">
        <f>D84-$K21</f>
        <v>96</v>
      </c>
      <c r="F84" s="492">
        <f>E84-$K21</f>
        <v>94</v>
      </c>
      <c r="G84" s="492">
        <f>F84-$K21</f>
        <v>92</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97</v>
      </c>
      <c r="E86" s="492">
        <f>D86-$K23</f>
        <v>94</v>
      </c>
      <c r="F86" s="492">
        <f>E86-$K23</f>
        <v>91</v>
      </c>
      <c r="G86" s="492">
        <f>F86-$K23</f>
        <v>88</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7" customFormat="1" ht="27.75" thickTop="1">
      <c r="A87" s="527"/>
      <c r="B87" s="486" t="s">
        <v>1823</v>
      </c>
      <c r="C87" s="3480" t="s">
        <v>3458</v>
      </c>
      <c r="D87" s="3480" t="s">
        <v>3459</v>
      </c>
      <c r="E87" s="3480" t="s">
        <v>3460</v>
      </c>
      <c r="F87" s="3480" t="s">
        <v>3461</v>
      </c>
      <c r="G87" s="3480" t="s">
        <v>3462</v>
      </c>
      <c r="H87" s="502"/>
      <c r="I87" s="502"/>
      <c r="J87" s="502"/>
      <c r="K87" s="502"/>
      <c r="L87" s="528"/>
      <c r="M87" s="529"/>
      <c r="N87" s="2749"/>
      <c r="O87" s="2749"/>
      <c r="P87" s="2759"/>
      <c r="Q87" s="2736"/>
      <c r="R87" s="2659"/>
      <c r="S87" s="2659"/>
      <c r="T87" s="2659"/>
      <c r="U87" s="2659"/>
      <c r="V87" s="2659"/>
      <c r="W87" s="2659"/>
      <c r="X87" s="2659"/>
      <c r="Y87" s="2659"/>
      <c r="Z87" s="2659"/>
      <c r="AA87" s="2659"/>
      <c r="AB87" s="2659"/>
      <c r="AC87" s="2659"/>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9"/>
      <c r="S88" s="2659"/>
      <c r="T88" s="2659"/>
      <c r="U88" s="2659"/>
      <c r="V88" s="2659"/>
      <c r="W88" s="2659"/>
      <c r="X88" s="2659"/>
      <c r="Y88" s="2659"/>
      <c r="Z88" s="2659"/>
      <c r="AA88" s="2659"/>
      <c r="AB88" s="2659"/>
      <c r="AC88" s="2659"/>
    </row>
    <row r="89" spans="1:29" s="107" customFormat="1" ht="15.75" thickTop="1">
      <c r="A89" s="527"/>
      <c r="B89" s="486" t="str">
        <f>B27</f>
        <v>楼层</v>
      </c>
      <c r="C89" s="3480" t="s">
        <v>3463</v>
      </c>
      <c r="D89" s="3480" t="s">
        <v>3457</v>
      </c>
      <c r="E89" s="3480" t="s">
        <v>3456</v>
      </c>
      <c r="F89" s="1926"/>
      <c r="G89" s="502"/>
      <c r="H89" s="502"/>
      <c r="I89" s="502"/>
      <c r="J89" s="502"/>
      <c r="K89" s="502"/>
      <c r="L89" s="502"/>
      <c r="M89" s="529"/>
      <c r="N89" s="2749"/>
      <c r="O89" s="2749"/>
      <c r="P89" s="2759"/>
      <c r="Q89" s="2736"/>
      <c r="R89" s="2659"/>
      <c r="S89" s="2659"/>
      <c r="T89" s="2659"/>
      <c r="U89" s="2659"/>
      <c r="V89" s="2659"/>
      <c r="W89" s="2659"/>
      <c r="X89" s="2659"/>
      <c r="Y89" s="2659"/>
      <c r="Z89" s="2659"/>
      <c r="AA89" s="2659"/>
      <c r="AB89" s="2659"/>
      <c r="AC89" s="2659"/>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7"/>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3490" t="s">
        <v>3514</v>
      </c>
      <c r="D101" s="3490" t="s">
        <v>3516</v>
      </c>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97</v>
      </c>
      <c r="E102" s="492">
        <f t="shared" si="22"/>
        <v>94</v>
      </c>
      <c r="F102" s="492">
        <f t="shared" si="22"/>
        <v>91</v>
      </c>
      <c r="G102" s="492">
        <f t="shared" si="22"/>
        <v>88</v>
      </c>
      <c r="H102" s="492">
        <f t="shared" si="22"/>
        <v>85</v>
      </c>
      <c r="I102" s="492">
        <f t="shared" si="22"/>
        <v>82</v>
      </c>
      <c r="J102" s="492">
        <f t="shared" si="22"/>
        <v>79</v>
      </c>
      <c r="K102" s="492">
        <f t="shared" si="22"/>
        <v>76</v>
      </c>
      <c r="L102" s="492">
        <f t="shared" si="22"/>
        <v>73</v>
      </c>
      <c r="M102" s="493">
        <f t="shared" si="22"/>
        <v>70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0(含)-100</v>
      </c>
      <c r="D103" s="526" t="str">
        <f t="shared" ref="D103:L103" si="23">D104&amp;"(含)"&amp;"-"&amp;E104</f>
        <v>100(含)-200</v>
      </c>
      <c r="E103" s="526" t="str">
        <f t="shared" si="23"/>
        <v>200(含)-500</v>
      </c>
      <c r="F103" s="526" t="str">
        <f t="shared" si="23"/>
        <v>500(含)-800</v>
      </c>
      <c r="G103" s="526" t="str">
        <f t="shared" si="23"/>
        <v>800(含)-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v>0</v>
      </c>
      <c r="D104" s="543">
        <v>100</v>
      </c>
      <c r="E104" s="543">
        <v>200</v>
      </c>
      <c r="F104" s="543">
        <v>500</v>
      </c>
      <c r="G104" s="543">
        <v>800</v>
      </c>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v>100</v>
      </c>
      <c r="D105" s="484">
        <v>99</v>
      </c>
      <c r="E105" s="484">
        <v>98</v>
      </c>
      <c r="F105" s="484">
        <v>97</v>
      </c>
      <c r="G105" s="484">
        <v>96</v>
      </c>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3480" t="s">
        <v>3464</v>
      </c>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3480" t="s">
        <v>3466</v>
      </c>
      <c r="D108" s="3480" t="s">
        <v>3468</v>
      </c>
      <c r="E108" s="3480" t="s">
        <v>3470</v>
      </c>
      <c r="F108" s="3491" t="s">
        <v>3471</v>
      </c>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3480" t="s">
        <v>3484</v>
      </c>
      <c r="D113" s="3480" t="s">
        <v>3485</v>
      </c>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3480" t="s">
        <v>3482</v>
      </c>
      <c r="D115" s="3480" t="s">
        <v>3483</v>
      </c>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3480" t="s">
        <v>3475</v>
      </c>
      <c r="D117" s="3480" t="s">
        <v>3477</v>
      </c>
      <c r="E117" s="3480" t="s">
        <v>3478</v>
      </c>
      <c r="F117" s="3480" t="s">
        <v>3479</v>
      </c>
      <c r="G117" s="3480" t="s">
        <v>3480</v>
      </c>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3491" t="s">
        <v>3473</v>
      </c>
      <c r="D119" s="531"/>
      <c r="E119" s="531"/>
      <c r="F119" s="531"/>
      <c r="G119" s="531"/>
      <c r="H119" s="531"/>
      <c r="I119" s="531"/>
      <c r="J119" s="531"/>
      <c r="K119" s="531"/>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3480" t="s">
        <v>3466</v>
      </c>
      <c r="D123" s="3480" t="s">
        <v>3468</v>
      </c>
      <c r="E123" s="3480" t="s">
        <v>3470</v>
      </c>
      <c r="F123" s="3491" t="s">
        <v>3471</v>
      </c>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174.21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174.21</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-0.31000000000000005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150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174.21</v>
      </c>
      <c r="E20" s="21">
        <f>'数据-取费表'!B28</f>
        <v>190</v>
      </c>
      <c r="F20" s="803"/>
      <c r="G20" s="12"/>
      <c r="H20" s="808"/>
      <c r="I20" s="808"/>
      <c r="J20" s="808"/>
      <c r="K20" s="809"/>
    </row>
    <row r="21" spans="1:33" s="802" customFormat="1" ht="13.5" customHeight="1">
      <c r="A21" s="789" t="s">
        <v>357</v>
      </c>
      <c r="B21" s="812" t="s">
        <v>1628</v>
      </c>
      <c r="C21" s="813">
        <f ca="1">C16+C17+C18</f>
        <v>-0.31000000000000005</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143.8646</v>
      </c>
      <c r="C2" s="1871" t="s">
        <v>1651</v>
      </c>
      <c r="D2" s="1872" t="s">
        <v>1652</v>
      </c>
      <c r="E2" s="2605">
        <f>SUM(E6:E13)</f>
        <v>174.21</v>
      </c>
      <c r="F2" s="2704"/>
      <c r="G2" s="1488"/>
      <c r="H2" s="1488"/>
      <c r="I2" s="1488"/>
      <c r="J2" s="1488"/>
      <c r="K2" s="1488"/>
      <c r="L2" s="1488"/>
      <c r="M2" s="1488"/>
      <c r="N2" s="1488"/>
      <c r="O2" s="1488"/>
      <c r="P2" s="1488"/>
      <c r="Q2" s="1488"/>
      <c r="R2" s="1488"/>
      <c r="S2" s="1488"/>
    </row>
    <row r="3" spans="1:22" ht="15.75">
      <c r="A3" s="1869" t="s">
        <v>686</v>
      </c>
      <c r="B3" s="2599">
        <f ca="1">ROUND(B2*10000/E2,0)</f>
        <v>8258</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85" t="s">
        <v>1654</v>
      </c>
      <c r="C5" s="3786"/>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143.8646</v>
      </c>
      <c r="C6" s="1871" t="s">
        <v>1651</v>
      </c>
      <c r="D6" s="2706"/>
      <c r="E6" s="2604">
        <f>IF(OR(A6=0,F6="否"),0,'数据-取费表'!K6+'数据-取费表'!S6)</f>
        <v>174.21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3393</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t="e">
        <f ca="1">J53</f>
        <v>#N/A</v>
      </c>
      <c r="G1" s="1377"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t="e">
        <f ca="1">C6+C10+C12</f>
        <v>#N/A</v>
      </c>
      <c r="D5" s="1363" t="s">
        <v>693</v>
      </c>
      <c r="E5" s="1070"/>
      <c r="F5" s="1071"/>
      <c r="G5" s="1383"/>
      <c r="H5" s="298">
        <v>1</v>
      </c>
      <c r="I5" s="299" t="s">
        <v>692</v>
      </c>
      <c r="J5" s="1069" t="e">
        <f ca="1">J6+J10+J12</f>
        <v>#N/A</v>
      </c>
      <c r="K5" s="1363" t="s">
        <v>693</v>
      </c>
      <c r="L5" s="1070"/>
      <c r="M5" s="1071"/>
    </row>
    <row r="6" spans="1:37" ht="18" customHeight="1">
      <c r="A6" s="1068" t="s">
        <v>398</v>
      </c>
      <c r="B6" s="3762" t="s">
        <v>694</v>
      </c>
      <c r="C6" s="1073" t="e">
        <f ca="1">ROUND(F6*F8*F7*(1-F9)/10000,0)</f>
        <v>#N/A</v>
      </c>
      <c r="D6" s="154" t="s">
        <v>2109</v>
      </c>
      <c r="E6" s="301" t="s">
        <v>696</v>
      </c>
      <c r="F6" s="302" t="e">
        <f ca="1">INDIRECT("'数据-取费表'!u"&amp;$G$1)</f>
        <v>#N/A</v>
      </c>
      <c r="G6" s="1383"/>
      <c r="H6" s="1068" t="s">
        <v>398</v>
      </c>
      <c r="I6" s="3762" t="s">
        <v>694</v>
      </c>
      <c r="J6" s="300" t="e">
        <f ca="1">ROUND(M6*M8*M7*(1-M9)/10000,0)</f>
        <v>#N/A</v>
      </c>
      <c r="K6" s="154" t="s">
        <v>2108</v>
      </c>
      <c r="L6" s="301" t="s">
        <v>696</v>
      </c>
      <c r="M6" s="302" t="e">
        <f ca="1">INDIRECT("'数据-取费表'!z"&amp;$G$1)</f>
        <v>#N/A</v>
      </c>
    </row>
    <row r="7" spans="1:37" ht="18" customHeight="1">
      <c r="A7" s="1072"/>
      <c r="B7" s="3763"/>
      <c r="C7" s="1074"/>
      <c r="D7" s="306"/>
      <c r="E7" s="1075" t="s">
        <v>697</v>
      </c>
      <c r="F7" s="302" t="e">
        <f ca="1">IF(INDIRECT("'数据-取费表'!ah"&amp;$G$1)="",INDIRECT("'数据-取费表'!k"&amp;$G$1),INDIRECT("'数据-取费表'!ah"&amp;$G$1))</f>
        <v>#N/A</v>
      </c>
      <c r="G7" s="1383"/>
      <c r="H7" s="303"/>
      <c r="I7" s="3763"/>
      <c r="J7" s="305"/>
      <c r="K7" s="306"/>
      <c r="L7" s="301" t="s">
        <v>697</v>
      </c>
      <c r="M7" s="302" t="e">
        <f ca="1">F7</f>
        <v>#N/A</v>
      </c>
    </row>
    <row r="8" spans="1:37" ht="18" customHeight="1">
      <c r="A8" s="303"/>
      <c r="B8" s="3763"/>
      <c r="C8" s="305"/>
      <c r="D8" s="306"/>
      <c r="E8" s="301" t="s">
        <v>698</v>
      </c>
      <c r="F8" s="302" t="e">
        <f ca="1">INDIRECT("'数据-取费表'!ai"&amp;$G$1)</f>
        <v>#N/A</v>
      </c>
      <c r="G8" s="1383"/>
      <c r="H8" s="303"/>
      <c r="I8" s="3763"/>
      <c r="J8" s="305"/>
      <c r="K8" s="306"/>
      <c r="L8" s="301" t="s">
        <v>698</v>
      </c>
      <c r="M8" s="302" t="e">
        <f ca="1">INDIRECT("'数据-取费表'!ai"&amp;$G$1)</f>
        <v>#N/A</v>
      </c>
    </row>
    <row r="9" spans="1:37" ht="18" customHeight="1">
      <c r="A9" s="303"/>
      <c r="B9" s="3764"/>
      <c r="C9" s="305"/>
      <c r="D9" s="306"/>
      <c r="E9" s="301" t="s">
        <v>699</v>
      </c>
      <c r="F9" s="311" t="e">
        <f ca="1">INDIRECT("'数据-取费表'!w"&amp;$G$1)</f>
        <v>#N/A</v>
      </c>
      <c r="G9" s="1383"/>
      <c r="H9" s="303"/>
      <c r="I9" s="3764"/>
      <c r="J9" s="305"/>
      <c r="K9" s="306"/>
      <c r="L9" s="312" t="s">
        <v>699</v>
      </c>
      <c r="M9" s="313" t="e">
        <f ca="1">INDIRECT("'数据-取费表'!ab"&amp;$G$1)</f>
        <v>#N/A</v>
      </c>
    </row>
    <row r="10" spans="1:37" ht="18" customHeight="1">
      <c r="A10" s="1068" t="s">
        <v>402</v>
      </c>
      <c r="B10" s="1364" t="s">
        <v>700</v>
      </c>
      <c r="C10" s="315" t="e">
        <f ca="1">ROUND(IF(F10="押一",C6/12*F11,IF(F10="押二",C6/12*2*F11,IF(F10="押三",C6/12*3*F11,C11*F11))),0)</f>
        <v>#N/A</v>
      </c>
      <c r="D10" s="1365" t="s">
        <v>2117</v>
      </c>
      <c r="E10" s="312" t="s">
        <v>701</v>
      </c>
      <c r="F10" s="1115" t="s">
        <v>3418</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INDIRECT("'数据-取费表'!m"&amp;$G$1)+INDIRECT("'数据-取费表'!t"&amp;$G$1)</f>
        <v>#N/A</v>
      </c>
      <c r="D14" s="1344" t="s">
        <v>708</v>
      </c>
      <c r="E14" s="1341"/>
      <c r="F14" s="318"/>
      <c r="G14" s="1383"/>
      <c r="H14" s="981" t="s">
        <v>398</v>
      </c>
      <c r="I14" s="301" t="s">
        <v>709</v>
      </c>
      <c r="J14" s="21" t="e">
        <f ca="1">C29</f>
        <v>#N/A</v>
      </c>
      <c r="K14" s="12"/>
      <c r="L14" s="806"/>
      <c r="M14" s="807"/>
    </row>
    <row r="15" spans="1:37" s="1396" customFormat="1" ht="18" customHeight="1" thickBot="1">
      <c r="A15" s="981" t="s">
        <v>399</v>
      </c>
      <c r="B15" s="301" t="s">
        <v>710</v>
      </c>
      <c r="C15" s="21" t="e">
        <f ca="1">ROUND(C14*F15,0)</f>
        <v>#N/A</v>
      </c>
      <c r="D15" s="319" t="s">
        <v>711</v>
      </c>
      <c r="E15" s="319" t="s">
        <v>712</v>
      </c>
      <c r="F15" s="320">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ROUND(INDIRECT("'数据-取费表'!m"&amp;$G$1)*F16,0)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1087"/>
      <c r="M16" s="1071"/>
    </row>
    <row r="17" spans="1:37" s="1396" customFormat="1" ht="18" customHeight="1">
      <c r="A17" s="981" t="s">
        <v>681</v>
      </c>
      <c r="B17" s="301" t="s">
        <v>716</v>
      </c>
      <c r="C17" s="21" t="e">
        <f ca="1">ROUND(F17*(F43+INDIRECT("'数据-取费表'!S"&amp;$G$1))/10000,0)</f>
        <v>#N/A</v>
      </c>
      <c r="D17" s="301" t="s">
        <v>717</v>
      </c>
      <c r="E17" s="301" t="s">
        <v>718</v>
      </c>
      <c r="F17" s="23">
        <f>'数据-取费表'!B35</f>
        <v>200</v>
      </c>
      <c r="G17" s="1395"/>
      <c r="H17" s="981" t="s">
        <v>398</v>
      </c>
      <c r="I17" s="301"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1.4999999999999999E-2</v>
      </c>
      <c r="G18" s="1395"/>
      <c r="H18" s="981" t="s">
        <v>397</v>
      </c>
      <c r="I18" s="301" t="s">
        <v>723</v>
      </c>
      <c r="J18" s="21" t="e">
        <f ca="1">ROUND(J6*M18/(1+'数据-取费表'!C42),2)</f>
        <v>#N/A</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1359"/>
      <c r="F19" s="23"/>
      <c r="G19" s="1383"/>
      <c r="H19" s="981" t="s">
        <v>399</v>
      </c>
      <c r="I19" s="301" t="s">
        <v>727</v>
      </c>
      <c r="J19" s="21" t="e">
        <f ca="1">IF(K19="按租金收入计税",ROUND(J6*M19/(1+'数据-取费表'!C42),2),ROUND(C29*M19*0.7,2))</f>
        <v>#N/A</v>
      </c>
      <c r="K19" s="1369" t="s">
        <v>3337</v>
      </c>
      <c r="L19" s="301" t="s">
        <v>712</v>
      </c>
      <c r="M19" s="321">
        <f>IF(K19="按租金收入计税",'数据-取费表'!B51,'数据-取费表'!B50)</f>
        <v>0.12</v>
      </c>
    </row>
    <row r="20" spans="1:37" s="1396" customFormat="1" ht="18" customHeight="1">
      <c r="A20" s="981" t="s">
        <v>402</v>
      </c>
      <c r="B20" s="301" t="s">
        <v>728</v>
      </c>
      <c r="C20" s="21" t="e">
        <f ca="1">ROUND(C19*F20,0)</f>
        <v>#N/A</v>
      </c>
      <c r="D20" s="322" t="s">
        <v>729</v>
      </c>
      <c r="E20" s="301" t="s">
        <v>712</v>
      </c>
      <c r="F20" s="321">
        <f>'数据-取费表'!B37</f>
        <v>0.02</v>
      </c>
      <c r="G20" s="1395"/>
      <c r="H20" s="981" t="s">
        <v>680</v>
      </c>
      <c r="I20" s="154" t="s">
        <v>730</v>
      </c>
      <c r="J20" s="22" t="e">
        <f ca="1">ROUND(M20*M21/10000,2)</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t="e">
        <f ca="1">ROUND(J14*M22,2)</f>
        <v>#N/A</v>
      </c>
      <c r="K22" s="1343"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t="e">
        <f ca="1">ROUND(J13*M23,2)</f>
        <v>#N/A</v>
      </c>
      <c r="K23" s="1343"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t="e">
        <f ca="1">J5-J16</f>
        <v>#N/A</v>
      </c>
      <c r="K25" s="1094" t="s">
        <v>753</v>
      </c>
      <c r="L25" s="1095"/>
      <c r="M25" s="1096"/>
    </row>
    <row r="26" spans="1:37">
      <c r="A26" s="981" t="s">
        <v>397</v>
      </c>
      <c r="B26" s="301" t="s">
        <v>754</v>
      </c>
      <c r="C26" s="21" t="e">
        <f ca="1">ROUND((C19+C20)*F26,0)</f>
        <v>#N/A</v>
      </c>
      <c r="D26" s="322"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322" t="s">
        <v>761</v>
      </c>
      <c r="E27" s="319"/>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1087"/>
      <c r="F30" s="1071"/>
      <c r="G30" s="1383"/>
      <c r="H30" s="2694"/>
      <c r="I30" s="1397"/>
      <c r="J30" s="1398"/>
      <c r="K30" s="2473"/>
      <c r="L30" s="2695"/>
      <c r="M30" s="2696"/>
    </row>
    <row r="31" spans="1:37" ht="18" customHeight="1">
      <c r="A31" s="981" t="s">
        <v>398</v>
      </c>
      <c r="B31" s="301"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5" t="s">
        <v>2310</v>
      </c>
      <c r="I31" s="1397"/>
      <c r="J31" s="1398"/>
      <c r="K31" s="2473"/>
      <c r="L31" s="2695"/>
      <c r="M31" s="2696"/>
    </row>
    <row r="32" spans="1:37" ht="18" customHeight="1">
      <c r="A32" s="981" t="s">
        <v>397</v>
      </c>
      <c r="B32" s="301" t="s">
        <v>723</v>
      </c>
      <c r="C32" s="21" t="str">
        <f>IF(项目基本情况!B11="自然人","——",ROUND(C6*F32/(1+'数据-取费表'!C42),2))</f>
        <v>——</v>
      </c>
      <c r="D32" s="1343" t="s">
        <v>724</v>
      </c>
      <c r="E32" s="301" t="s">
        <v>712</v>
      </c>
      <c r="F32" s="330">
        <f>'数据-取费表'!B41</f>
        <v>5.5000000000000007E-2</v>
      </c>
      <c r="G32" s="1383"/>
      <c r="H32" s="2694"/>
      <c r="I32" s="1397"/>
      <c r="J32" s="1398"/>
      <c r="K32" s="2473"/>
      <c r="L32" s="2695"/>
      <c r="M32" s="2696"/>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3337</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t="str">
        <f>IF(项目基本情况!B11="自然人","——",ROUND(F34*F35/10000,2))</f>
        <v>——</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t="e">
        <f ca="1">INDIRECT("'数据-取费表'!r"&amp;$G$1)</f>
        <v>#N/A</v>
      </c>
      <c r="G35" s="1383"/>
      <c r="H35" s="2694"/>
      <c r="I35" s="1397"/>
      <c r="J35" s="1398"/>
      <c r="K35" s="2698"/>
      <c r="L35" s="2697"/>
      <c r="M35" s="2697"/>
    </row>
    <row r="36" spans="1:18" ht="18" customHeight="1">
      <c r="A36" s="1101" t="s">
        <v>402</v>
      </c>
      <c r="B36" s="301" t="s">
        <v>738</v>
      </c>
      <c r="C36" s="21" t="e">
        <f ca="1">ROUND(C29*F36,2)</f>
        <v>#N/A</v>
      </c>
      <c r="D36" s="1343" t="s">
        <v>771</v>
      </c>
      <c r="E36" s="301" t="s">
        <v>712</v>
      </c>
      <c r="F36" s="327" t="e">
        <f ca="1">INDIRECT("'数据-取费表'!Ak"&amp;$G$1)</f>
        <v>#N/A</v>
      </c>
      <c r="G36" s="1383"/>
      <c r="H36" s="2697"/>
      <c r="I36" s="1397"/>
      <c r="J36" s="1398"/>
      <c r="K36" s="2542"/>
      <c r="L36" s="2697"/>
      <c r="M36" s="2697"/>
    </row>
    <row r="37" spans="1:18" ht="18" customHeight="1">
      <c r="A37" s="981" t="s">
        <v>437</v>
      </c>
      <c r="B37" s="301" t="s">
        <v>742</v>
      </c>
      <c r="C37" s="21" t="e">
        <f ca="1">ROUND(C13*F37,2)</f>
        <v>#N/A</v>
      </c>
      <c r="D37" s="1343" t="s">
        <v>743</v>
      </c>
      <c r="E37" s="301" t="s">
        <v>744</v>
      </c>
      <c r="F37" s="329" t="e">
        <f ca="1">INDIRECT("'数据-取费表'!Al"&amp;$G$1)</f>
        <v>#N/A</v>
      </c>
      <c r="G37" s="1383"/>
      <c r="H37" s="2697"/>
      <c r="I37" s="1397"/>
      <c r="J37" s="1398"/>
      <c r="K37" s="2542"/>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3"/>
      <c r="H38" s="2697"/>
      <c r="I38" s="1397"/>
      <c r="J38" s="1398"/>
      <c r="K38" s="2701"/>
      <c r="L38" s="2697"/>
      <c r="M38" s="2697"/>
    </row>
    <row r="39" spans="1:18" ht="24.6" customHeight="1" thickTop="1">
      <c r="A39" s="1078" t="s">
        <v>394</v>
      </c>
      <c r="B39" s="1093" t="s">
        <v>772</v>
      </c>
      <c r="C39" s="309" t="e">
        <f ca="1">C5-C30</f>
        <v>#N/A</v>
      </c>
      <c r="D39" s="1094" t="s">
        <v>773</v>
      </c>
      <c r="E39" s="1095"/>
      <c r="F39" s="1096"/>
      <c r="G39" s="1383"/>
      <c r="H39" s="2697"/>
      <c r="I39" s="1397"/>
      <c r="J39" s="1398"/>
      <c r="K39" s="2701"/>
      <c r="L39" s="2697"/>
      <c r="M39" s="2697"/>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1"/>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2"/>
      <c r="L41" s="1190"/>
      <c r="M41" s="1190"/>
    </row>
    <row r="42" spans="1:18" ht="18" customHeight="1">
      <c r="A42" s="307"/>
      <c r="B42" s="308"/>
      <c r="C42" s="309"/>
      <c r="D42" s="326"/>
      <c r="E42" s="301" t="s">
        <v>766</v>
      </c>
      <c r="F42" s="311" t="e">
        <f ca="1">INDIRECT("'数据-取费表'!v"&amp;$G$1)</f>
        <v>#N/A</v>
      </c>
      <c r="G42" s="1383"/>
      <c r="H42" s="1190"/>
      <c r="I42" s="1397"/>
      <c r="J42" s="1398"/>
      <c r="K42" s="2542"/>
      <c r="L42" s="1190"/>
      <c r="M42" s="1190"/>
    </row>
    <row r="43" spans="1:18" ht="18" customHeight="1" thickBot="1">
      <c r="A43" s="333" t="s">
        <v>396</v>
      </c>
      <c r="B43" s="334" t="s">
        <v>776</v>
      </c>
      <c r="C43" s="335" t="e">
        <f ca="1">ROUND(C40*10000/F43,0)</f>
        <v>#N/A</v>
      </c>
      <c r="D43" s="336" t="s">
        <v>777</v>
      </c>
      <c r="E43" s="337" t="s">
        <v>778</v>
      </c>
      <c r="F43" s="338" t="e">
        <f ca="1">INDIRECT("'数据-取费表'!k"&amp;$G$1)</f>
        <v>#N/A</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1358" t="e">
        <f ca="1">C49+C53+C55</f>
        <v>#N/A</v>
      </c>
      <c r="D48" s="1111"/>
      <c r="E48" s="1112"/>
      <c r="F48" s="961"/>
      <c r="G48" s="721"/>
      <c r="H48" s="722"/>
      <c r="I48" s="1420" t="s">
        <v>819</v>
      </c>
      <c r="J48" s="1421" t="s">
        <v>3408</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2110</v>
      </c>
      <c r="E49" s="1371" t="s">
        <v>780</v>
      </c>
      <c r="F49" s="1059"/>
      <c r="G49" s="1424"/>
      <c r="H49" s="722"/>
      <c r="I49" s="1420" t="s">
        <v>823</v>
      </c>
      <c r="J49" s="1425">
        <f>'数据-取费表'!N18</f>
        <v>2005</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31</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t="e">
        <f ca="1">IF(M47="住宅",IF(D1="——",MAX(J51,L48),MAX(J51,L48-'数据-取费表'!B24)),IF(D1="——",MIN(J51,L48),MIN(J51,L48-'数据-取费表'!B24)))</f>
        <v>#N/A</v>
      </c>
      <c r="K53" s="3765" t="s">
        <v>837</v>
      </c>
      <c r="L53" s="3766"/>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1" t="e">
        <f ca="1">C13</f>
        <v>#N/A</v>
      </c>
      <c r="D56" s="1446"/>
      <c r="E56" s="1447"/>
      <c r="F56" s="1439"/>
      <c r="I56" s="1448" t="s">
        <v>842</v>
      </c>
      <c r="J56" s="1449" t="s">
        <v>3384</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3337</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ROUND(C68*10000/F71,0)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Normal="100" workbookViewId="0">
      <selection activeCell="C34" sqref="C34"/>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4" t="s">
        <v>2319</v>
      </c>
      <c r="B2" s="2839" t="e">
        <f ca="1">IF(D2="——",C40,C40+E2)</f>
        <v>#N/A</v>
      </c>
      <c r="C2" s="2840" t="s">
        <v>2320</v>
      </c>
      <c r="D2" s="3439" t="s">
        <v>3360</v>
      </c>
      <c r="E2" s="3440" t="e">
        <f ca="1">'收益法-残值'!L46</f>
        <v>#N/A</v>
      </c>
      <c r="F2" s="2842"/>
      <c r="G2" s="2843"/>
      <c r="H2" s="2844"/>
      <c r="I2" s="2845"/>
      <c r="J2" s="3793" t="s">
        <v>2321</v>
      </c>
      <c r="K2" s="3794"/>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 ca="1">ROUND(B2*10000/B4,0)</f>
        <v>#N/A</v>
      </c>
      <c r="C3" s="2840" t="s">
        <v>2330</v>
      </c>
      <c r="D3" s="2840"/>
      <c r="E3" s="2841"/>
      <c r="F3" s="2842"/>
      <c r="G3" s="2843"/>
      <c r="H3" s="2844"/>
      <c r="I3" s="2845"/>
      <c r="J3" s="3795" t="s">
        <v>2331</v>
      </c>
      <c r="K3" s="3796"/>
      <c r="L3" s="2852">
        <f>B4</f>
        <v>0</v>
      </c>
      <c r="M3" s="2852"/>
      <c r="N3" s="2852"/>
      <c r="O3" s="2852"/>
      <c r="P3" s="2852"/>
      <c r="Q3" s="2853"/>
      <c r="R3" s="2854">
        <f>SUM(L3:Q3)</f>
        <v>0</v>
      </c>
      <c r="S3" s="2837"/>
      <c r="T3" s="2837"/>
      <c r="U3" s="2837"/>
      <c r="V3" s="2845"/>
    </row>
    <row r="4" spans="1:22" s="2849" customFormat="1" ht="13.15" customHeight="1">
      <c r="A4" s="2855" t="s">
        <v>2332</v>
      </c>
      <c r="B4" s="2856">
        <f>'数据-汇总表'!F20</f>
        <v>0</v>
      </c>
      <c r="C4" s="2840"/>
      <c r="D4" s="2840"/>
      <c r="E4" s="2841"/>
      <c r="F4" s="2842"/>
      <c r="G4" s="2843"/>
      <c r="H4" s="2844"/>
      <c r="I4" s="2845"/>
      <c r="J4" s="3795" t="s">
        <v>2333</v>
      </c>
      <c r="K4" s="3796"/>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58</v>
      </c>
      <c r="S5" s="2837"/>
      <c r="T5" s="2837" t="s">
        <v>2336</v>
      </c>
      <c r="U5" s="2837" t="e">
        <f>ROUND(R5*10000/365/R3,1)</f>
        <v>#DIV/0!</v>
      </c>
      <c r="V5" s="2845"/>
    </row>
    <row r="6" spans="1:22" s="2849" customFormat="1" ht="13.15" customHeight="1" thickBot="1">
      <c r="A6" s="3801" t="s">
        <v>2337</v>
      </c>
      <c r="B6" s="3802"/>
      <c r="C6" s="3803"/>
      <c r="D6" s="2866">
        <f>R5</f>
        <v>58</v>
      </c>
      <c r="E6" s="2867"/>
      <c r="F6" s="2868"/>
      <c r="G6" s="2869"/>
      <c r="H6" s="2844"/>
      <c r="I6" s="2845"/>
      <c r="J6" s="3787">
        <v>1</v>
      </c>
      <c r="K6" s="3788"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 ca="1">SUM(D9,D10,D11,D17,0)</f>
        <v>31</v>
      </c>
      <c r="E7" s="2876">
        <f ca="1">E9+E10+E11+E17</f>
        <v>0.51896551724137929</v>
      </c>
      <c r="F7" s="2877"/>
      <c r="G7" s="2878"/>
      <c r="H7" s="2844"/>
      <c r="I7" s="2845"/>
      <c r="J7" s="3787"/>
      <c r="K7" s="3789"/>
      <c r="L7" s="2879" t="s">
        <v>2348</v>
      </c>
      <c r="M7" s="2880">
        <v>16</v>
      </c>
      <c r="N7" s="2856">
        <v>120</v>
      </c>
      <c r="O7" s="2881">
        <v>0.98</v>
      </c>
      <c r="P7" s="2881">
        <v>0.85</v>
      </c>
      <c r="Q7" s="2882">
        <v>365</v>
      </c>
      <c r="R7" s="2883">
        <f>ROUND(M7*N7*O7*P7*Q7/10000,0)</f>
        <v>58</v>
      </c>
      <c r="S7" s="2837"/>
      <c r="T7" s="2837" t="s">
        <v>2349</v>
      </c>
      <c r="U7" s="2837"/>
      <c r="V7" s="2845"/>
    </row>
    <row r="8" spans="1:22" s="2849" customFormat="1" ht="13.15" customHeight="1">
      <c r="A8" s="2884" t="s">
        <v>2350</v>
      </c>
      <c r="B8" s="3804" t="s">
        <v>2351</v>
      </c>
      <c r="C8" s="3805"/>
      <c r="D8" s="2885" t="s">
        <v>2352</v>
      </c>
      <c r="E8" s="2886" t="s">
        <v>2353</v>
      </c>
      <c r="F8" s="2887" t="s">
        <v>2354</v>
      </c>
      <c r="G8" s="2888"/>
      <c r="H8" s="2844"/>
      <c r="I8" s="2845"/>
      <c r="J8" s="3787"/>
      <c r="K8" s="3789"/>
      <c r="L8" s="2879" t="s">
        <v>2355</v>
      </c>
      <c r="M8" s="2880"/>
      <c r="N8" s="2856"/>
      <c r="O8" s="2881"/>
      <c r="P8" s="2881"/>
      <c r="Q8" s="2882">
        <v>365</v>
      </c>
      <c r="R8" s="2883">
        <f t="shared" ref="R8:R13" si="0">ROUND(M8*N8*O8*P8*Q8/10000,0)</f>
        <v>0</v>
      </c>
      <c r="S8" s="2837"/>
      <c r="T8" s="2837" t="s">
        <v>2356</v>
      </c>
      <c r="U8" s="2837">
        <v>2</v>
      </c>
      <c r="V8" s="2845"/>
    </row>
    <row r="9" spans="1:22" s="2849" customFormat="1" ht="13.15" customHeight="1">
      <c r="A9" s="2884">
        <v>1</v>
      </c>
      <c r="B9" s="3804" t="s">
        <v>2357</v>
      </c>
      <c r="C9" s="3805"/>
      <c r="D9" s="2885">
        <f>ROUND(D6*E9,0)</f>
        <v>12</v>
      </c>
      <c r="E9" s="2889">
        <v>0.2</v>
      </c>
      <c r="F9" s="2890" t="s">
        <v>2358</v>
      </c>
      <c r="G9" s="2869"/>
      <c r="H9" s="2844"/>
      <c r="I9" s="2845"/>
      <c r="J9" s="3787"/>
      <c r="K9" s="3789"/>
      <c r="L9" s="2879" t="s">
        <v>2359</v>
      </c>
      <c r="M9" s="2880"/>
      <c r="N9" s="2856"/>
      <c r="O9" s="2881"/>
      <c r="P9" s="2881"/>
      <c r="Q9" s="2882">
        <v>365</v>
      </c>
      <c r="R9" s="2883">
        <f t="shared" si="0"/>
        <v>0</v>
      </c>
      <c r="S9" s="2837"/>
      <c r="T9" s="2837"/>
      <c r="U9" s="2837"/>
      <c r="V9" s="2845"/>
    </row>
    <row r="10" spans="1:22" s="2849" customFormat="1" ht="13.15" customHeight="1">
      <c r="A10" s="2884">
        <v>2</v>
      </c>
      <c r="B10" s="3804" t="s">
        <v>2360</v>
      </c>
      <c r="C10" s="3805"/>
      <c r="D10" s="2885">
        <f>ROUND(D6*E10,0)</f>
        <v>9</v>
      </c>
      <c r="E10" s="2889">
        <v>0.15</v>
      </c>
      <c r="F10" s="2890" t="s">
        <v>2361</v>
      </c>
      <c r="G10" s="2869"/>
      <c r="H10" s="2844"/>
      <c r="I10" s="2845"/>
      <c r="J10" s="3787"/>
      <c r="K10" s="3789"/>
      <c r="L10" s="2879" t="s">
        <v>2362</v>
      </c>
      <c r="M10" s="2880"/>
      <c r="N10" s="2856"/>
      <c r="O10" s="2881"/>
      <c r="P10" s="2881"/>
      <c r="Q10" s="2882">
        <v>365</v>
      </c>
      <c r="R10" s="2883">
        <f t="shared" si="0"/>
        <v>0</v>
      </c>
      <c r="S10" s="2837"/>
      <c r="T10" s="2837"/>
      <c r="U10" s="2837"/>
      <c r="V10" s="2845"/>
    </row>
    <row r="11" spans="1:22" s="2849" customFormat="1" ht="13.15" customHeight="1">
      <c r="A11" s="2884">
        <v>3</v>
      </c>
      <c r="B11" s="3804" t="s">
        <v>2363</v>
      </c>
      <c r="C11" s="3805"/>
      <c r="D11" s="2885">
        <f ca="1">D12+D14+D15+D16</f>
        <v>4</v>
      </c>
      <c r="E11" s="2891">
        <f ca="1">D11/D6</f>
        <v>6.8965517241379309E-2</v>
      </c>
      <c r="F11" s="2887"/>
      <c r="G11" s="2888"/>
      <c r="H11" s="2844"/>
      <c r="I11" s="2845"/>
      <c r="J11" s="3787"/>
      <c r="K11" s="3789"/>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97" t="s">
        <v>2366</v>
      </c>
      <c r="C12" s="3798"/>
      <c r="D12" s="2893">
        <f ca="1">ROUND(D13*1.2%*(1-30%),0)</f>
        <v>1</v>
      </c>
      <c r="E12" s="2894">
        <v>1.2E-2</v>
      </c>
      <c r="F12" s="2887" t="s">
        <v>2367</v>
      </c>
      <c r="G12" s="2888"/>
      <c r="H12" s="2844"/>
      <c r="I12" s="2845"/>
      <c r="J12" s="3787"/>
      <c r="K12" s="3789"/>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f ca="1">成本法!C49</f>
        <v>92</v>
      </c>
      <c r="E13" s="2898"/>
      <c r="F13" s="2887"/>
      <c r="G13" s="2888"/>
      <c r="H13" s="2844"/>
      <c r="I13" s="2845"/>
      <c r="J13" s="3787"/>
      <c r="K13" s="3789"/>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97" t="s">
        <v>2372</v>
      </c>
      <c r="C14" s="3798"/>
      <c r="D14" s="2893">
        <f>ROUND(E14*B5/10000,0)</f>
        <v>0</v>
      </c>
      <c r="E14" s="2882">
        <f>'数据-取费表'!B59</f>
        <v>1.5</v>
      </c>
      <c r="F14" s="2887" t="s">
        <v>2373</v>
      </c>
      <c r="G14" s="2888"/>
      <c r="H14" s="2844"/>
      <c r="I14" s="2845"/>
      <c r="J14" s="3787"/>
      <c r="K14" s="3790"/>
      <c r="L14" s="2899" t="s">
        <v>2374</v>
      </c>
      <c r="M14" s="2900">
        <f>SUM(M7:M13)</f>
        <v>16</v>
      </c>
      <c r="N14" s="2900">
        <f>ROUND((N7*M7+N8*M8+N9*M9+N10*M10+N11*M11+N12*M12+N13*M13)/M14,0)</f>
        <v>120</v>
      </c>
      <c r="O14" s="2901"/>
      <c r="P14" s="2901"/>
      <c r="Q14" s="2902"/>
      <c r="R14" s="2848">
        <f>SUM(R7:R13)</f>
        <v>58</v>
      </c>
      <c r="S14" s="2837"/>
      <c r="T14" s="2837"/>
      <c r="U14" s="2837"/>
      <c r="V14" s="2845"/>
    </row>
    <row r="15" spans="1:22" s="2849" customFormat="1" ht="13.15" customHeight="1">
      <c r="A15" s="2892" t="s">
        <v>2375</v>
      </c>
      <c r="B15" s="3797" t="s">
        <v>2376</v>
      </c>
      <c r="C15" s="3798"/>
      <c r="D15" s="2893">
        <f>ROUND(D6*E15,0)</f>
        <v>3</v>
      </c>
      <c r="E15" s="2894">
        <v>5.5E-2</v>
      </c>
      <c r="F15" s="2887" t="s">
        <v>2377</v>
      </c>
      <c r="G15" s="2869"/>
      <c r="H15" s="2844"/>
      <c r="I15" s="2845"/>
      <c r="J15" s="3787">
        <v>2</v>
      </c>
      <c r="K15" s="3788"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97" t="s">
        <v>2385</v>
      </c>
      <c r="C16" s="3798"/>
      <c r="D16" s="2904">
        <f>D6*E16</f>
        <v>0</v>
      </c>
      <c r="E16" s="2905">
        <v>0</v>
      </c>
      <c r="F16" s="2890" t="s">
        <v>2386</v>
      </c>
      <c r="G16" s="2869"/>
      <c r="H16" s="2844"/>
      <c r="I16" s="2845"/>
      <c r="J16" s="3787"/>
      <c r="K16" s="3789"/>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99" t="s">
        <v>2388</v>
      </c>
      <c r="C17" s="3800"/>
      <c r="D17" s="2907">
        <f>ROUND(D6*E17,0)</f>
        <v>6</v>
      </c>
      <c r="E17" s="2908">
        <v>0.1</v>
      </c>
      <c r="F17" s="2909" t="s">
        <v>2389</v>
      </c>
      <c r="G17" s="2869"/>
      <c r="H17" s="2844"/>
      <c r="I17" s="2845"/>
      <c r="J17" s="3787"/>
      <c r="K17" s="3789"/>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3</v>
      </c>
      <c r="E18" s="2911">
        <v>0.05</v>
      </c>
      <c r="F18" s="2912" t="s">
        <v>2392</v>
      </c>
      <c r="G18" s="2869"/>
      <c r="H18" s="2844"/>
      <c r="I18" s="2845"/>
      <c r="J18" s="3787"/>
      <c r="K18" s="3789"/>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87"/>
      <c r="K19" s="3790"/>
      <c r="L19" s="2899" t="s">
        <v>2374</v>
      </c>
      <c r="M19" s="2900"/>
      <c r="N19" s="2900">
        <f>SUM(N16:N18)</f>
        <v>0</v>
      </c>
      <c r="O19" s="2901"/>
      <c r="P19" s="2914" t="s">
        <v>3406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87">
        <v>3</v>
      </c>
      <c r="K20" s="3788"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87"/>
      <c r="K21" s="3789"/>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87"/>
      <c r="K22" s="3789"/>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58</v>
      </c>
      <c r="D23" s="2930">
        <f>C23*(1+D24)</f>
        <v>58</v>
      </c>
      <c r="E23" s="2931">
        <f>D23*(1+E24)</f>
        <v>58</v>
      </c>
      <c r="F23" s="2932"/>
      <c r="G23" s="2933"/>
      <c r="H23" s="2844"/>
      <c r="I23" s="2845"/>
      <c r="J23" s="3787"/>
      <c r="K23" s="3789"/>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87"/>
      <c r="K24" s="3790"/>
      <c r="L24" s="2899" t="s">
        <v>2374</v>
      </c>
      <c r="M24" s="2900">
        <f>SUM(M21:M23)</f>
        <v>0</v>
      </c>
      <c r="N24" s="2900"/>
      <c r="O24" s="2901"/>
      <c r="P24" s="2914" t="s">
        <v>3406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 ca="1">D7</f>
        <v>31</v>
      </c>
      <c r="D26" s="2930">
        <f ca="1">D23*D27</f>
        <v>30.099999999999998</v>
      </c>
      <c r="E26" s="2931">
        <f>E23*E27</f>
        <v>0</v>
      </c>
      <c r="F26" s="2932"/>
      <c r="G26" s="2933"/>
      <c r="H26" s="2844"/>
      <c r="I26" s="2845"/>
      <c r="J26" s="3791">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f ca="1">E7</f>
        <v>0.51896551724137929</v>
      </c>
      <c r="D27" s="2937">
        <f ca="1">E9+E10+E11+E17</f>
        <v>0.51896551724137929</v>
      </c>
      <c r="E27" s="2938"/>
      <c r="F27" s="2939"/>
      <c r="G27" s="2933"/>
      <c r="H27" s="2954"/>
      <c r="I27" s="2945"/>
      <c r="J27" s="379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2.9000000000000004</v>
      </c>
      <c r="D29" s="2930">
        <f>D23*C30</f>
        <v>2.9000000000000004</v>
      </c>
      <c r="E29" s="2931">
        <f>E23*C30</f>
        <v>2.9000000000000004</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0.05</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 ca="1">C23-C26-C29</f>
        <v>24.1</v>
      </c>
      <c r="D32" s="2930">
        <f ca="1">D23-D26-D29</f>
        <v>25</v>
      </c>
      <c r="E32" s="2931">
        <f>E23-E26-E29</f>
        <v>55.1</v>
      </c>
      <c r="F32" s="2932"/>
      <c r="G32" s="2926"/>
      <c r="H32" s="2844"/>
      <c r="I32" s="2845"/>
      <c r="J32" s="3793" t="s">
        <v>2321</v>
      </c>
      <c r="K32" s="3794"/>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95" t="s">
        <v>2331</v>
      </c>
      <c r="K33" s="3796"/>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f>'数据-取费表'!I6</f>
        <v>5.5E-2</v>
      </c>
      <c r="D34" s="2974">
        <v>0.01</v>
      </c>
      <c r="E34" s="2975">
        <v>0.01</v>
      </c>
      <c r="F34" s="2932"/>
      <c r="G34" s="2926"/>
      <c r="H34" s="2954"/>
      <c r="I34" s="2945"/>
      <c r="J34" s="3795" t="s">
        <v>2333</v>
      </c>
      <c r="K34" s="379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v>0</v>
      </c>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f>项目基本情况!D15</f>
        <v>19</v>
      </c>
      <c r="D36" s="2984"/>
      <c r="E36" s="2985"/>
      <c r="F36" s="2986">
        <f>C36+D36+E36</f>
        <v>19</v>
      </c>
      <c r="G36" s="2926"/>
      <c r="H36" s="2844"/>
      <c r="I36" s="2845"/>
      <c r="J36" s="3787">
        <v>1</v>
      </c>
      <c r="K36" s="3788"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87"/>
      <c r="K37" s="3789"/>
      <c r="L37" s="2879"/>
      <c r="M37" s="2880"/>
      <c r="N37" s="2856"/>
      <c r="O37" s="2881"/>
      <c r="P37" s="2881"/>
      <c r="Q37" s="2882"/>
      <c r="R37" s="2883"/>
      <c r="S37" s="2918"/>
      <c r="T37" s="2837" t="s">
        <v>2349</v>
      </c>
      <c r="U37" s="2837"/>
      <c r="V37" s="2845"/>
    </row>
    <row r="38" spans="1:23" s="2849" customFormat="1" ht="13.15" customHeight="1">
      <c r="A38" s="2927">
        <v>8</v>
      </c>
      <c r="B38" s="2928"/>
      <c r="C38" s="2885">
        <f ca="1">ROUND(C32*(1-((1+C35)/(1+C34))^C36)/(C34-C35),0)</f>
        <v>280</v>
      </c>
      <c r="D38" s="2885">
        <f ca="1">IF(D23=0,0,ROUND(D32*(1-((1+D35)/(1+D34))^D36)/(D34-D35),0))</f>
        <v>0</v>
      </c>
      <c r="E38" s="2885">
        <f>IF(E23=0,0,ROUND(E32*(1-((1+E35)/(1+E34))^E36)/(E34-E35),0))</f>
        <v>0</v>
      </c>
      <c r="F38" s="2932"/>
      <c r="G38" s="2926"/>
      <c r="H38" s="2844"/>
      <c r="I38" s="2845"/>
      <c r="J38" s="3787"/>
      <c r="K38" s="3789"/>
      <c r="L38" s="2879"/>
      <c r="M38" s="2880"/>
      <c r="N38" s="2856"/>
      <c r="O38" s="2881"/>
      <c r="P38" s="2881"/>
      <c r="Q38" s="2882"/>
      <c r="R38" s="2883"/>
      <c r="S38" s="2918"/>
      <c r="T38" s="2837" t="s">
        <v>2356</v>
      </c>
      <c r="U38" s="2837"/>
      <c r="V38" s="2845"/>
    </row>
    <row r="39" spans="1:23" s="2849" customFormat="1" ht="13.15" customHeight="1">
      <c r="A39" s="2927">
        <v>9</v>
      </c>
      <c r="B39" s="2928" t="s">
        <v>2434</v>
      </c>
      <c r="C39" s="2893">
        <f ca="1">C38</f>
        <v>280</v>
      </c>
      <c r="D39" s="2928">
        <f ca="1">D38/(1+D34)^C36</f>
        <v>0</v>
      </c>
      <c r="E39" s="2928">
        <f>E38/(1+E34)^(C36+D36)</f>
        <v>0</v>
      </c>
      <c r="F39" s="2932"/>
      <c r="G39" s="2987"/>
      <c r="H39" s="2844"/>
      <c r="I39" s="2845"/>
      <c r="J39" s="3787"/>
      <c r="K39" s="3789"/>
      <c r="L39" s="2879"/>
      <c r="M39" s="2880"/>
      <c r="N39" s="2856"/>
      <c r="O39" s="2881"/>
      <c r="P39" s="2881"/>
      <c r="Q39" s="2882"/>
      <c r="R39" s="2883"/>
      <c r="S39" s="2918"/>
      <c r="T39" s="2837"/>
      <c r="U39" s="2837"/>
      <c r="V39" s="2845"/>
    </row>
    <row r="40" spans="1:23" s="2849" customFormat="1" ht="13.15" customHeight="1">
      <c r="A40" s="2988">
        <v>10</v>
      </c>
      <c r="B40" s="2928" t="s">
        <v>2435</v>
      </c>
      <c r="C40" s="2989">
        <f ca="1">C39+D39+E39</f>
        <v>280</v>
      </c>
      <c r="D40" s="2990"/>
      <c r="E40" s="2990"/>
      <c r="F40" s="2991"/>
      <c r="G40" s="2926"/>
      <c r="H40" s="2844"/>
      <c r="I40" s="2845"/>
      <c r="J40" s="3787"/>
      <c r="K40" s="3790"/>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 ca="1">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91">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9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受贵公司委托，我公司对北京市密云县车站路59号楼1至2层3商业综合用房房地产抵押价值进行了预评估。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估价对象为北京市密云县车站路59号楼1至2层3商业综合用房房地产，为所有。根据《国有土地使用证》[]，估价对象（分摊）出让国有建设用地使用权面积为0平方米，建筑面积为174.21平方米。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车站路59号楼1至2层3商业综合用房房地产,属开发建设的办公项目，该项目尚在开发建设中。根据《国有土地使用证》[]，估价对象（分摊）出让国有建设用地使用权面积为0平方米，规划建筑面积为174.21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密云县车站路59号楼1至2层3商业综合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2"/>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174.21</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4" t="s">
        <v>1666</v>
      </c>
      <c r="B4" s="355"/>
      <c r="C4" s="3716" t="s">
        <v>1667</v>
      </c>
      <c r="D4" s="3717"/>
      <c r="E4" s="3718" t="s">
        <v>1668</v>
      </c>
      <c r="F4" s="3719"/>
      <c r="G4" s="3716" t="s">
        <v>1669</v>
      </c>
      <c r="H4" s="3717"/>
      <c r="I4" s="3716" t="s">
        <v>1670</v>
      </c>
      <c r="J4" s="3717"/>
      <c r="K4" s="1888" t="s">
        <v>1671</v>
      </c>
      <c r="L4" s="2712"/>
      <c r="M4" s="2713"/>
      <c r="N4" s="2713"/>
      <c r="O4" s="2713"/>
      <c r="P4" s="3720" t="s">
        <v>1672</v>
      </c>
      <c r="Q4" s="3721"/>
      <c r="R4" s="3726" t="s">
        <v>1668</v>
      </c>
      <c r="S4" s="3727"/>
      <c r="T4" s="3726" t="s">
        <v>1669</v>
      </c>
      <c r="U4" s="3727"/>
      <c r="V4" s="3711" t="s">
        <v>1670</v>
      </c>
      <c r="W4" s="3711"/>
      <c r="X4" s="1354"/>
      <c r="Y4" s="3726" t="s">
        <v>1672</v>
      </c>
      <c r="Z4" s="3727"/>
      <c r="AA4" s="3713" t="s">
        <v>1668</v>
      </c>
      <c r="AB4" s="3713" t="s">
        <v>1669</v>
      </c>
      <c r="AC4" s="3713" t="s">
        <v>1670</v>
      </c>
    </row>
    <row r="5" spans="1:29" ht="15">
      <c r="A5" s="357"/>
      <c r="B5" s="358"/>
      <c r="C5" s="3734" t="s">
        <v>1673</v>
      </c>
      <c r="D5" s="3735"/>
      <c r="E5" s="3806" t="s">
        <v>1674</v>
      </c>
      <c r="F5" s="3742"/>
      <c r="G5" s="3734" t="s">
        <v>1675</v>
      </c>
      <c r="H5" s="3735"/>
      <c r="I5" s="3734" t="s">
        <v>1676</v>
      </c>
      <c r="J5" s="3735"/>
      <c r="K5" s="1889"/>
      <c r="L5" s="2712"/>
      <c r="M5" s="2713"/>
      <c r="N5" s="2713"/>
      <c r="O5" s="2713"/>
      <c r="P5" s="3722"/>
      <c r="Q5" s="3723"/>
      <c r="R5" s="3728"/>
      <c r="S5" s="3729"/>
      <c r="T5" s="3728"/>
      <c r="U5" s="3729"/>
      <c r="V5" s="3711"/>
      <c r="W5" s="3711"/>
      <c r="X5" s="1354"/>
      <c r="Y5" s="3728"/>
      <c r="Z5" s="3729"/>
      <c r="AA5" s="3714"/>
      <c r="AB5" s="3714"/>
      <c r="AC5" s="3714"/>
    </row>
    <row r="6" spans="1:29" ht="15.75" thickBot="1">
      <c r="A6" s="359"/>
      <c r="B6" s="360"/>
      <c r="C6" s="3732" t="s">
        <v>1677</v>
      </c>
      <c r="D6" s="3733"/>
      <c r="E6" s="3739" t="s">
        <v>1677</v>
      </c>
      <c r="F6" s="3740"/>
      <c r="G6" s="3732" t="s">
        <v>1677</v>
      </c>
      <c r="H6" s="3733"/>
      <c r="I6" s="3732" t="s">
        <v>1677</v>
      </c>
      <c r="J6" s="3733"/>
      <c r="K6" s="1889" t="s">
        <v>1678</v>
      </c>
      <c r="L6" s="2712"/>
      <c r="M6" s="2713"/>
      <c r="N6" s="2713"/>
      <c r="O6" s="2713"/>
      <c r="P6" s="3724"/>
      <c r="Q6" s="3725"/>
      <c r="R6" s="3728"/>
      <c r="S6" s="3729"/>
      <c r="T6" s="3730"/>
      <c r="U6" s="3731"/>
      <c r="V6" s="3711"/>
      <c r="W6" s="3711"/>
      <c r="X6" s="1354"/>
      <c r="Y6" s="3730"/>
      <c r="Z6" s="3731"/>
      <c r="AA6" s="3715"/>
      <c r="AB6" s="3715"/>
      <c r="AC6" s="3715"/>
    </row>
    <row r="7" spans="1:29" s="107" customFormat="1" ht="15.75" thickBot="1">
      <c r="A7" s="361" t="s">
        <v>1679</v>
      </c>
      <c r="B7" s="362"/>
      <c r="C7" s="363">
        <f>'数据-取费表'!B2</f>
        <v>45299</v>
      </c>
      <c r="D7" s="364">
        <v>100</v>
      </c>
      <c r="E7" s="365"/>
      <c r="F7" s="366">
        <f>SUMIF(58:58,YEAR(E7)&amp;"-"&amp;MONTH(E7),59:59)</f>
        <v>0</v>
      </c>
      <c r="G7" s="365"/>
      <c r="H7" s="364">
        <f>SUMIF(58:58,YEAR(G7)&amp;"-"&amp;MONTH(G7),59:59)</f>
        <v>0</v>
      </c>
      <c r="I7" s="365"/>
      <c r="J7" s="364">
        <f>SUMIF(58:58,YEAR(I7)&amp;"-"&amp;MONTH(I7),59:59)</f>
        <v>0</v>
      </c>
      <c r="K7" s="1890"/>
      <c r="L7" s="2714"/>
      <c r="M7" s="2715"/>
      <c r="N7" s="2715"/>
      <c r="O7" s="2715"/>
      <c r="P7" s="3736" t="s">
        <v>1680</v>
      </c>
      <c r="Q7" s="3738"/>
      <c r="R7" s="700" t="s">
        <v>20</v>
      </c>
      <c r="S7" s="701">
        <f t="shared" ref="S7:S15" si="0">F7</f>
        <v>0</v>
      </c>
      <c r="T7" s="700" t="s">
        <v>20</v>
      </c>
      <c r="U7" s="701">
        <f t="shared" ref="U7:U15" si="1">H7</f>
        <v>0</v>
      </c>
      <c r="V7" s="700" t="s">
        <v>20</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4"/>
      <c r="M8" s="2715"/>
      <c r="N8" s="2715"/>
      <c r="O8" s="2715"/>
      <c r="P8" s="3736" t="s">
        <v>1683</v>
      </c>
      <c r="Q8" s="3737"/>
      <c r="R8" s="700" t="s">
        <v>20</v>
      </c>
      <c r="S8" s="701">
        <f t="shared" si="0"/>
        <v>100</v>
      </c>
      <c r="T8" s="700" t="s">
        <v>20</v>
      </c>
      <c r="U8" s="701">
        <f t="shared" si="1"/>
        <v>100</v>
      </c>
      <c r="V8" s="700" t="s">
        <v>20</v>
      </c>
      <c r="W8" s="701">
        <f t="shared" si="2"/>
        <v>100</v>
      </c>
      <c r="X8" s="702"/>
      <c r="Y8" s="3736" t="s">
        <v>1683</v>
      </c>
      <c r="Z8" s="3737"/>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4"/>
      <c r="M9" s="2715"/>
      <c r="N9" s="2715"/>
      <c r="O9" s="2715"/>
      <c r="P9" s="3712" t="s">
        <v>1686</v>
      </c>
      <c r="Q9" s="1342" t="str">
        <f t="shared" ref="Q9:Q15" si="6">B9</f>
        <v>用途</v>
      </c>
      <c r="R9" s="700" t="s">
        <v>14</v>
      </c>
      <c r="S9" s="701">
        <f t="shared" si="0"/>
        <v>100</v>
      </c>
      <c r="T9" s="700" t="s">
        <v>14</v>
      </c>
      <c r="U9" s="701">
        <f t="shared" si="1"/>
        <v>100</v>
      </c>
      <c r="V9" s="700" t="s">
        <v>14</v>
      </c>
      <c r="W9" s="701">
        <f t="shared" si="2"/>
        <v>100</v>
      </c>
      <c r="X9" s="702"/>
      <c r="Y9" s="3597"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90"/>
      <c r="L10" s="2716"/>
      <c r="M10" s="2717"/>
      <c r="N10" s="2717"/>
      <c r="O10" s="2717"/>
      <c r="P10" s="3712"/>
      <c r="Q10" s="1342"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12"/>
      <c r="Q11" s="1342" t="str">
        <f t="shared" si="6"/>
        <v>容积率</v>
      </c>
      <c r="R11" s="700" t="s">
        <v>18</v>
      </c>
      <c r="S11" s="701" t="e">
        <f t="shared" si="0"/>
        <v>#N/A</v>
      </c>
      <c r="T11" s="700" t="s">
        <v>18</v>
      </c>
      <c r="U11" s="701" t="e">
        <f t="shared" si="1"/>
        <v>#N/A</v>
      </c>
      <c r="V11" s="700" t="s">
        <v>18</v>
      </c>
      <c r="W11" s="701" t="e">
        <f t="shared" si="2"/>
        <v>#N/A</v>
      </c>
      <c r="X11" s="702"/>
      <c r="Y11" s="3597"/>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4"/>
      <c r="M12" s="2715"/>
      <c r="N12" s="2715"/>
      <c r="O12" s="2715"/>
      <c r="P12" s="3712"/>
      <c r="Q12" s="1342">
        <f t="shared" si="6"/>
        <v>111</v>
      </c>
      <c r="R12" s="700" t="s">
        <v>18</v>
      </c>
      <c r="S12" s="701">
        <f t="shared" si="0"/>
        <v>100</v>
      </c>
      <c r="T12" s="700" t="s">
        <v>18</v>
      </c>
      <c r="U12" s="701">
        <f t="shared" si="1"/>
        <v>100</v>
      </c>
      <c r="V12" s="700" t="s">
        <v>18</v>
      </c>
      <c r="W12" s="701">
        <f t="shared" si="2"/>
        <v>100</v>
      </c>
      <c r="X12" s="702"/>
      <c r="Y12" s="3597"/>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9"/>
      <c r="M13" s="2713"/>
      <c r="N13" s="2713"/>
      <c r="O13" s="2713"/>
      <c r="P13" s="3712"/>
      <c r="Q13" s="1342">
        <f t="shared" si="6"/>
        <v>111</v>
      </c>
      <c r="R13" s="700" t="s">
        <v>18</v>
      </c>
      <c r="S13" s="701">
        <f t="shared" si="0"/>
        <v>100</v>
      </c>
      <c r="T13" s="700" t="s">
        <v>18</v>
      </c>
      <c r="U13" s="701">
        <f t="shared" si="1"/>
        <v>100</v>
      </c>
      <c r="V13" s="700" t="s">
        <v>18</v>
      </c>
      <c r="W13" s="701">
        <f t="shared" si="2"/>
        <v>100</v>
      </c>
      <c r="X13" s="702"/>
      <c r="Y13" s="3597"/>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9"/>
      <c r="M14" s="2713"/>
      <c r="N14" s="2713"/>
      <c r="O14" s="2713"/>
      <c r="P14" s="3712"/>
      <c r="Q14" s="1342">
        <f t="shared" si="6"/>
        <v>111</v>
      </c>
      <c r="R14" s="700" t="s">
        <v>18</v>
      </c>
      <c r="S14" s="701">
        <f t="shared" si="0"/>
        <v>100</v>
      </c>
      <c r="T14" s="700" t="s">
        <v>18</v>
      </c>
      <c r="U14" s="701">
        <f t="shared" si="1"/>
        <v>100</v>
      </c>
      <c r="V14" s="700" t="s">
        <v>18</v>
      </c>
      <c r="W14" s="701">
        <f t="shared" si="2"/>
        <v>100</v>
      </c>
      <c r="X14" s="702"/>
      <c r="Y14" s="3597"/>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02" t="s">
        <v>1691</v>
      </c>
      <c r="Q15" s="1351" t="str">
        <f t="shared" si="6"/>
        <v>居住社区成熟度</v>
      </c>
      <c r="R15" s="704" t="s">
        <v>18</v>
      </c>
      <c r="S15" s="705">
        <f t="shared" si="0"/>
        <v>100</v>
      </c>
      <c r="T15" s="704" t="s">
        <v>18</v>
      </c>
      <c r="U15" s="705">
        <f t="shared" si="1"/>
        <v>100</v>
      </c>
      <c r="V15" s="704" t="s">
        <v>18</v>
      </c>
      <c r="W15" s="705">
        <f t="shared" si="2"/>
        <v>100</v>
      </c>
      <c r="X15" s="1354"/>
      <c r="Y15" s="3704"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9"/>
      <c r="M16" s="2713"/>
      <c r="N16" s="2713"/>
      <c r="O16" s="2713"/>
      <c r="P16" s="3703"/>
      <c r="Q16" s="1351"/>
      <c r="R16" s="704"/>
      <c r="S16" s="705"/>
      <c r="T16" s="704"/>
      <c r="U16" s="705"/>
      <c r="V16" s="704"/>
      <c r="W16" s="705"/>
      <c r="X16" s="1354"/>
      <c r="Y16" s="3705"/>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03"/>
      <c r="Q17" s="1351" t="str">
        <f>B17</f>
        <v>交通便捷度</v>
      </c>
      <c r="R17" s="704" t="s">
        <v>18</v>
      </c>
      <c r="S17" s="705">
        <f>F17</f>
        <v>100</v>
      </c>
      <c r="T17" s="704" t="s">
        <v>18</v>
      </c>
      <c r="U17" s="705">
        <f>H17</f>
        <v>100</v>
      </c>
      <c r="V17" s="704" t="s">
        <v>18</v>
      </c>
      <c r="W17" s="705">
        <f>J17</f>
        <v>100</v>
      </c>
      <c r="X17" s="1354"/>
      <c r="Y17" s="370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9"/>
      <c r="M18" s="2713"/>
      <c r="N18" s="2713"/>
      <c r="O18" s="2713"/>
      <c r="P18" s="3703"/>
      <c r="Q18" s="1351"/>
      <c r="R18" s="704"/>
      <c r="S18" s="705"/>
      <c r="T18" s="704"/>
      <c r="U18" s="705"/>
      <c r="V18" s="704"/>
      <c r="W18" s="705"/>
      <c r="X18" s="1354"/>
      <c r="Y18" s="3705"/>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03"/>
      <c r="Q19" s="1351" t="str">
        <f>B19</f>
        <v>公共配套设施</v>
      </c>
      <c r="R19" s="704" t="s">
        <v>18</v>
      </c>
      <c r="S19" s="705">
        <f>F19</f>
        <v>100</v>
      </c>
      <c r="T19" s="704" t="s">
        <v>18</v>
      </c>
      <c r="U19" s="705">
        <f>H19</f>
        <v>100</v>
      </c>
      <c r="V19" s="704" t="s">
        <v>18</v>
      </c>
      <c r="W19" s="705">
        <f>J19</f>
        <v>100</v>
      </c>
      <c r="X19" s="1354"/>
      <c r="Y19" s="370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9"/>
      <c r="M20" s="2713"/>
      <c r="N20" s="2713"/>
      <c r="O20" s="2713"/>
      <c r="P20" s="3703"/>
      <c r="Q20" s="1351"/>
      <c r="R20" s="704"/>
      <c r="S20" s="705"/>
      <c r="T20" s="704"/>
      <c r="U20" s="705"/>
      <c r="V20" s="704"/>
      <c r="W20" s="705"/>
      <c r="X20" s="1354"/>
      <c r="Y20" s="3705"/>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03"/>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9"/>
      <c r="M22" s="2713"/>
      <c r="N22" s="2713"/>
      <c r="O22" s="2713"/>
      <c r="P22" s="3703"/>
      <c r="Q22" s="1351"/>
      <c r="R22" s="704"/>
      <c r="S22" s="705"/>
      <c r="T22" s="704"/>
      <c r="U22" s="705"/>
      <c r="V22" s="704"/>
      <c r="W22" s="705"/>
      <c r="X22" s="1354"/>
      <c r="Y22" s="3705"/>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03"/>
      <c r="Q23" s="1351" t="str">
        <f>B23</f>
        <v>自然及人文环境</v>
      </c>
      <c r="R23" s="704" t="s">
        <v>18</v>
      </c>
      <c r="S23" s="705">
        <f>F23</f>
        <v>100</v>
      </c>
      <c r="T23" s="704" t="s">
        <v>18</v>
      </c>
      <c r="U23" s="705">
        <f>H23</f>
        <v>100</v>
      </c>
      <c r="V23" s="704" t="s">
        <v>18</v>
      </c>
      <c r="W23" s="705">
        <f>J23</f>
        <v>100</v>
      </c>
      <c r="X23" s="1354"/>
      <c r="Y23" s="370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9"/>
      <c r="M24" s="2713"/>
      <c r="N24" s="2713"/>
      <c r="O24" s="2713"/>
      <c r="P24" s="3703"/>
      <c r="Q24" s="1351"/>
      <c r="R24" s="704"/>
      <c r="S24" s="705"/>
      <c r="T24" s="704"/>
      <c r="U24" s="705"/>
      <c r="V24" s="704"/>
      <c r="W24" s="705"/>
      <c r="X24" s="1354"/>
      <c r="Y24" s="3705"/>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19"/>
      <c r="M25" s="2713"/>
      <c r="N25" s="2713"/>
      <c r="O25" s="2713"/>
      <c r="P25" s="370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5"/>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19"/>
      <c r="M26" s="2713"/>
      <c r="N26" s="2713"/>
      <c r="O26" s="2713"/>
      <c r="P26" s="3703"/>
      <c r="Q26" s="1351" t="str">
        <f t="shared" si="11"/>
        <v>朝向</v>
      </c>
      <c r="R26" s="704" t="s">
        <v>18</v>
      </c>
      <c r="S26" s="705">
        <f t="shared" si="12"/>
        <v>100</v>
      </c>
      <c r="T26" s="704" t="s">
        <v>18</v>
      </c>
      <c r="U26" s="705">
        <f t="shared" si="13"/>
        <v>100</v>
      </c>
      <c r="V26" s="704" t="s">
        <v>18</v>
      </c>
      <c r="W26" s="705">
        <f t="shared" si="14"/>
        <v>100</v>
      </c>
      <c r="X26" s="1354"/>
      <c r="Y26" s="3705"/>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4"/>
      <c r="M27" s="2715"/>
      <c r="N27" s="2715"/>
      <c r="O27" s="2715"/>
      <c r="P27" s="3703"/>
      <c r="Q27" s="1342">
        <f t="shared" si="11"/>
        <v>111</v>
      </c>
      <c r="R27" s="700" t="s">
        <v>18</v>
      </c>
      <c r="S27" s="701">
        <f t="shared" si="12"/>
        <v>100</v>
      </c>
      <c r="T27" s="700" t="s">
        <v>18</v>
      </c>
      <c r="U27" s="701">
        <f t="shared" si="13"/>
        <v>100</v>
      </c>
      <c r="V27" s="700" t="s">
        <v>18</v>
      </c>
      <c r="W27" s="701">
        <f t="shared" si="14"/>
        <v>100</v>
      </c>
      <c r="X27" s="702"/>
      <c r="Y27" s="370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9"/>
      <c r="M28" s="2713"/>
      <c r="N28" s="2713"/>
      <c r="O28" s="2713"/>
      <c r="P28" s="3703"/>
      <c r="Q28" s="1351">
        <f t="shared" si="11"/>
        <v>111</v>
      </c>
      <c r="R28" s="704" t="s">
        <v>18</v>
      </c>
      <c r="S28" s="705">
        <f t="shared" si="12"/>
        <v>100</v>
      </c>
      <c r="T28" s="704" t="s">
        <v>18</v>
      </c>
      <c r="U28" s="705">
        <f t="shared" si="13"/>
        <v>100</v>
      </c>
      <c r="V28" s="704" t="s">
        <v>18</v>
      </c>
      <c r="W28" s="705">
        <f t="shared" si="14"/>
        <v>100</v>
      </c>
      <c r="X28" s="1354"/>
      <c r="Y28" s="370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9"/>
      <c r="M29" s="2713"/>
      <c r="N29" s="2713"/>
      <c r="O29" s="2713"/>
      <c r="P29" s="3703"/>
      <c r="Q29" s="1351">
        <f t="shared" si="11"/>
        <v>111</v>
      </c>
      <c r="R29" s="704" t="s">
        <v>18</v>
      </c>
      <c r="S29" s="705">
        <f t="shared" si="12"/>
        <v>100</v>
      </c>
      <c r="T29" s="704" t="s">
        <v>18</v>
      </c>
      <c r="U29" s="705">
        <f t="shared" si="13"/>
        <v>100</v>
      </c>
      <c r="V29" s="704" t="s">
        <v>18</v>
      </c>
      <c r="W29" s="705">
        <f t="shared" si="14"/>
        <v>100</v>
      </c>
      <c r="X29" s="1354"/>
      <c r="Y29" s="370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9"/>
      <c r="M30" s="2713"/>
      <c r="N30" s="2713"/>
      <c r="O30" s="2713"/>
      <c r="P30" s="3703"/>
      <c r="Q30" s="1351">
        <f t="shared" si="11"/>
        <v>111</v>
      </c>
      <c r="R30" s="704" t="s">
        <v>18</v>
      </c>
      <c r="S30" s="705">
        <f t="shared" si="12"/>
        <v>100</v>
      </c>
      <c r="T30" s="704" t="s">
        <v>18</v>
      </c>
      <c r="U30" s="705">
        <f t="shared" si="13"/>
        <v>100</v>
      </c>
      <c r="V30" s="704" t="s">
        <v>18</v>
      </c>
      <c r="W30" s="705">
        <f t="shared" si="14"/>
        <v>100</v>
      </c>
      <c r="X30" s="1354"/>
      <c r="Y30" s="370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9"/>
      <c r="M31" s="2713"/>
      <c r="N31" s="2713"/>
      <c r="O31" s="2713"/>
      <c r="P31" s="3703"/>
      <c r="Q31" s="1351">
        <f t="shared" si="11"/>
        <v>111</v>
      </c>
      <c r="R31" s="704" t="s">
        <v>18</v>
      </c>
      <c r="S31" s="705">
        <f t="shared" si="12"/>
        <v>100</v>
      </c>
      <c r="T31" s="704" t="s">
        <v>18</v>
      </c>
      <c r="U31" s="705">
        <f t="shared" si="13"/>
        <v>100</v>
      </c>
      <c r="V31" s="704" t="s">
        <v>18</v>
      </c>
      <c r="W31" s="705">
        <f t="shared" si="14"/>
        <v>100</v>
      </c>
      <c r="X31" s="1354"/>
      <c r="Y31" s="3705"/>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9"/>
      <c r="M32" s="2713"/>
      <c r="N32" s="2713"/>
      <c r="O32" s="2713"/>
      <c r="P32" s="3706" t="s">
        <v>1696</v>
      </c>
      <c r="Q32" s="1351" t="str">
        <f t="shared" si="11"/>
        <v>建筑类型</v>
      </c>
      <c r="R32" s="704" t="s">
        <v>18</v>
      </c>
      <c r="S32" s="705">
        <f t="shared" si="12"/>
        <v>100</v>
      </c>
      <c r="T32" s="704" t="s">
        <v>18</v>
      </c>
      <c r="U32" s="705">
        <f t="shared" si="13"/>
        <v>100</v>
      </c>
      <c r="V32" s="704" t="s">
        <v>18</v>
      </c>
      <c r="W32" s="705">
        <f t="shared" si="14"/>
        <v>100</v>
      </c>
      <c r="X32" s="1354"/>
      <c r="Y32" s="3709"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8"/>
      <c r="M33" s="2720"/>
      <c r="N33" s="2720"/>
      <c r="O33" s="2720"/>
      <c r="P33" s="3707"/>
      <c r="Q33" s="706" t="str">
        <f t="shared" si="11"/>
        <v>项目建筑规模</v>
      </c>
      <c r="R33" s="707" t="s">
        <v>18</v>
      </c>
      <c r="S33" s="708" t="e">
        <f t="shared" si="12"/>
        <v>#N/A</v>
      </c>
      <c r="T33" s="707" t="s">
        <v>18</v>
      </c>
      <c r="U33" s="708" t="e">
        <f t="shared" si="13"/>
        <v>#N/A</v>
      </c>
      <c r="V33" s="707" t="s">
        <v>18</v>
      </c>
      <c r="W33" s="708" t="e">
        <f t="shared" si="14"/>
        <v>#N/A</v>
      </c>
      <c r="X33" s="709"/>
      <c r="Y33" s="3709"/>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9"/>
      <c r="M34" s="2713"/>
      <c r="N34" s="2713"/>
      <c r="O34" s="2713"/>
      <c r="P34" s="3707"/>
      <c r="Q34" s="1351" t="str">
        <f t="shared" si="11"/>
        <v>建筑结构</v>
      </c>
      <c r="R34" s="704" t="s">
        <v>18</v>
      </c>
      <c r="S34" s="705">
        <f t="shared" si="12"/>
        <v>100</v>
      </c>
      <c r="T34" s="704" t="s">
        <v>18</v>
      </c>
      <c r="U34" s="705">
        <f t="shared" si="13"/>
        <v>100</v>
      </c>
      <c r="V34" s="704" t="s">
        <v>18</v>
      </c>
      <c r="W34" s="705">
        <f t="shared" si="14"/>
        <v>100</v>
      </c>
      <c r="X34" s="1354"/>
      <c r="Y34" s="3709"/>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9"/>
      <c r="M35" s="2713"/>
      <c r="N35" s="2713"/>
      <c r="O35" s="2713"/>
      <c r="P35" s="3707"/>
      <c r="Q35" s="1351" t="str">
        <f t="shared" si="11"/>
        <v>建筑品质</v>
      </c>
      <c r="R35" s="704" t="s">
        <v>18</v>
      </c>
      <c r="S35" s="705">
        <f t="shared" si="12"/>
        <v>100</v>
      </c>
      <c r="T35" s="704" t="s">
        <v>18</v>
      </c>
      <c r="U35" s="705">
        <f t="shared" si="13"/>
        <v>100</v>
      </c>
      <c r="V35" s="704" t="s">
        <v>18</v>
      </c>
      <c r="W35" s="705">
        <f t="shared" si="14"/>
        <v>100</v>
      </c>
      <c r="X35" s="1354"/>
      <c r="Y35" s="3709"/>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9"/>
      <c r="M36" s="2713"/>
      <c r="N36" s="2713"/>
      <c r="O36" s="2713"/>
      <c r="P36" s="3707"/>
      <c r="Q36" s="1351" t="str">
        <f t="shared" si="11"/>
        <v>公共部分装修</v>
      </c>
      <c r="R36" s="704" t="s">
        <v>18</v>
      </c>
      <c r="S36" s="705">
        <f t="shared" si="12"/>
        <v>100</v>
      </c>
      <c r="T36" s="704" t="s">
        <v>18</v>
      </c>
      <c r="U36" s="705">
        <f t="shared" si="13"/>
        <v>100</v>
      </c>
      <c r="V36" s="704" t="s">
        <v>18</v>
      </c>
      <c r="W36" s="705">
        <f t="shared" si="14"/>
        <v>100</v>
      </c>
      <c r="X36" s="1354"/>
      <c r="Y36" s="3709"/>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07"/>
      <c r="Q37" s="1342" t="str">
        <f t="shared" si="11"/>
        <v>成新度</v>
      </c>
      <c r="R37" s="700" t="s">
        <v>18</v>
      </c>
      <c r="S37" s="701" t="e">
        <f t="shared" si="12"/>
        <v>#N/A</v>
      </c>
      <c r="T37" s="700" t="s">
        <v>18</v>
      </c>
      <c r="U37" s="701" t="e">
        <f t="shared" si="13"/>
        <v>#N/A</v>
      </c>
      <c r="V37" s="700" t="s">
        <v>18</v>
      </c>
      <c r="W37" s="701" t="e">
        <f t="shared" si="14"/>
        <v>#N/A</v>
      </c>
      <c r="X37" s="702"/>
      <c r="Y37" s="3709"/>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9"/>
      <c r="M38" s="2713"/>
      <c r="N38" s="2713"/>
      <c r="O38" s="2713"/>
      <c r="P38" s="3707" t="s">
        <v>1696</v>
      </c>
      <c r="Q38" s="1351" t="str">
        <f t="shared" si="11"/>
        <v>物业管理</v>
      </c>
      <c r="R38" s="704" t="s">
        <v>18</v>
      </c>
      <c r="S38" s="705">
        <f t="shared" si="12"/>
        <v>100</v>
      </c>
      <c r="T38" s="704" t="s">
        <v>18</v>
      </c>
      <c r="U38" s="705">
        <f t="shared" si="13"/>
        <v>100</v>
      </c>
      <c r="V38" s="704" t="s">
        <v>18</v>
      </c>
      <c r="W38" s="705">
        <f t="shared" si="14"/>
        <v>100</v>
      </c>
      <c r="X38" s="1354"/>
      <c r="Y38" s="3709"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9"/>
      <c r="M39" s="2713"/>
      <c r="N39" s="2713"/>
      <c r="O39" s="2713"/>
      <c r="P39" s="3707"/>
      <c r="Q39" s="1351" t="str">
        <f t="shared" si="11"/>
        <v>市政基础设施</v>
      </c>
      <c r="R39" s="704" t="s">
        <v>18</v>
      </c>
      <c r="S39" s="705">
        <f t="shared" si="12"/>
        <v>100</v>
      </c>
      <c r="T39" s="704" t="s">
        <v>18</v>
      </c>
      <c r="U39" s="705">
        <f t="shared" si="13"/>
        <v>100</v>
      </c>
      <c r="V39" s="704" t="s">
        <v>18</v>
      </c>
      <c r="W39" s="705">
        <f t="shared" si="14"/>
        <v>100</v>
      </c>
      <c r="X39" s="1354"/>
      <c r="Y39" s="3709"/>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9"/>
      <c r="M40" s="2713"/>
      <c r="N40" s="2713"/>
      <c r="O40" s="2713"/>
      <c r="P40" s="3707"/>
      <c r="Q40" s="1351" t="str">
        <f t="shared" si="11"/>
        <v>房型</v>
      </c>
      <c r="R40" s="704" t="s">
        <v>18</v>
      </c>
      <c r="S40" s="705">
        <f t="shared" si="12"/>
        <v>100</v>
      </c>
      <c r="T40" s="704" t="s">
        <v>18</v>
      </c>
      <c r="U40" s="705">
        <f t="shared" si="13"/>
        <v>100</v>
      </c>
      <c r="V40" s="704" t="s">
        <v>18</v>
      </c>
      <c r="W40" s="705">
        <f t="shared" si="14"/>
        <v>100</v>
      </c>
      <c r="X40" s="1354"/>
      <c r="Y40" s="3709"/>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8"/>
      <c r="M41" s="2720"/>
      <c r="N41" s="2720"/>
      <c r="O41" s="2720"/>
      <c r="P41" s="3707"/>
      <c r="Q41" s="706" t="str">
        <f t="shared" si="11"/>
        <v>单套/主力户型建筑面积</v>
      </c>
      <c r="R41" s="707" t="s">
        <v>18</v>
      </c>
      <c r="S41" s="708">
        <f t="shared" si="12"/>
        <v>100</v>
      </c>
      <c r="T41" s="707" t="s">
        <v>18</v>
      </c>
      <c r="U41" s="708">
        <f t="shared" si="13"/>
        <v>100</v>
      </c>
      <c r="V41" s="707" t="s">
        <v>18</v>
      </c>
      <c r="W41" s="708">
        <f t="shared" si="14"/>
        <v>100</v>
      </c>
      <c r="X41" s="709"/>
      <c r="Y41" s="3709"/>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9"/>
      <c r="M42" s="2713"/>
      <c r="N42" s="2713"/>
      <c r="O42" s="2713"/>
      <c r="P42" s="3707"/>
      <c r="Q42" s="1351" t="str">
        <f t="shared" si="11"/>
        <v>内部装修</v>
      </c>
      <c r="R42" s="704" t="s">
        <v>18</v>
      </c>
      <c r="S42" s="705">
        <f t="shared" si="12"/>
        <v>100</v>
      </c>
      <c r="T42" s="704" t="s">
        <v>18</v>
      </c>
      <c r="U42" s="705">
        <f t="shared" si="13"/>
        <v>100</v>
      </c>
      <c r="V42" s="704" t="s">
        <v>18</v>
      </c>
      <c r="W42" s="705">
        <f t="shared" si="14"/>
        <v>100</v>
      </c>
      <c r="X42" s="1354"/>
      <c r="Y42" s="3709"/>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9"/>
      <c r="M43" s="2713"/>
      <c r="N43" s="2713"/>
      <c r="O43" s="2713"/>
      <c r="P43" s="3707"/>
      <c r="Q43" s="1351" t="str">
        <f t="shared" si="11"/>
        <v>内部装修维护情况</v>
      </c>
      <c r="R43" s="704" t="s">
        <v>18</v>
      </c>
      <c r="S43" s="705">
        <f t="shared" si="12"/>
        <v>100</v>
      </c>
      <c r="T43" s="704" t="s">
        <v>18</v>
      </c>
      <c r="U43" s="705">
        <f t="shared" si="13"/>
        <v>100</v>
      </c>
      <c r="V43" s="704" t="s">
        <v>18</v>
      </c>
      <c r="W43" s="705">
        <f t="shared" si="14"/>
        <v>100</v>
      </c>
      <c r="X43" s="1354"/>
      <c r="Y43" s="3709"/>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4"/>
      <c r="M44" s="2715"/>
      <c r="N44" s="2715"/>
      <c r="O44" s="2715"/>
      <c r="P44" s="3707"/>
      <c r="Q44" s="1342">
        <f t="shared" si="11"/>
        <v>111</v>
      </c>
      <c r="R44" s="700" t="s">
        <v>18</v>
      </c>
      <c r="S44" s="701">
        <f t="shared" si="12"/>
        <v>100</v>
      </c>
      <c r="T44" s="700" t="s">
        <v>18</v>
      </c>
      <c r="U44" s="701">
        <f t="shared" si="13"/>
        <v>100</v>
      </c>
      <c r="V44" s="700" t="s">
        <v>18</v>
      </c>
      <c r="W44" s="701">
        <f t="shared" si="14"/>
        <v>100</v>
      </c>
      <c r="X44" s="702"/>
      <c r="Y44" s="370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9"/>
      <c r="M45" s="2713"/>
      <c r="N45" s="2713"/>
      <c r="O45" s="2713"/>
      <c r="P45" s="3707"/>
      <c r="Q45" s="1351">
        <f t="shared" si="11"/>
        <v>111</v>
      </c>
      <c r="R45" s="704" t="s">
        <v>18</v>
      </c>
      <c r="S45" s="705">
        <f t="shared" si="12"/>
        <v>100</v>
      </c>
      <c r="T45" s="704" t="s">
        <v>18</v>
      </c>
      <c r="U45" s="705">
        <f t="shared" si="13"/>
        <v>100</v>
      </c>
      <c r="V45" s="704" t="s">
        <v>18</v>
      </c>
      <c r="W45" s="705">
        <f t="shared" si="14"/>
        <v>100</v>
      </c>
      <c r="X45" s="1354"/>
      <c r="Y45" s="370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9"/>
      <c r="M46" s="2713"/>
      <c r="N46" s="2713"/>
      <c r="O46" s="2713"/>
      <c r="P46" s="3708"/>
      <c r="Q46" s="1351">
        <f t="shared" si="11"/>
        <v>111</v>
      </c>
      <c r="R46" s="704" t="s">
        <v>17</v>
      </c>
      <c r="S46" s="705">
        <f t="shared" si="12"/>
        <v>100</v>
      </c>
      <c r="T46" s="704" t="s">
        <v>17</v>
      </c>
      <c r="U46" s="705">
        <f t="shared" si="13"/>
        <v>100</v>
      </c>
      <c r="V46" s="704" t="s">
        <v>17</v>
      </c>
      <c r="W46" s="705">
        <f t="shared" si="14"/>
        <v>100</v>
      </c>
      <c r="X46" s="1354"/>
      <c r="Y46" s="3710"/>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1"/>
      <c r="M47" s="2722"/>
      <c r="N47" s="2713"/>
      <c r="O47" s="2722"/>
      <c r="P47" s="3697" t="str">
        <f>A47</f>
        <v>成交单价（元/平方米）</v>
      </c>
      <c r="Q47" s="3697"/>
      <c r="R47" s="3698">
        <f>E47</f>
        <v>0</v>
      </c>
      <c r="S47" s="3698"/>
      <c r="T47" s="3698">
        <f>G47</f>
        <v>0</v>
      </c>
      <c r="U47" s="3698"/>
      <c r="V47" s="3698">
        <f>I47</f>
        <v>0</v>
      </c>
      <c r="W47" s="3698"/>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1"/>
      <c r="M49" s="2722"/>
      <c r="N49" s="2722"/>
      <c r="O49" s="2722"/>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6"/>
    </row>
    <row r="55" spans="1:29" s="450"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174.21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912"/>
      <c r="M4" s="913"/>
      <c r="N4" s="913"/>
      <c r="O4" s="913"/>
      <c r="P4" s="3720" t="s">
        <v>1775</v>
      </c>
      <c r="Q4" s="3721"/>
      <c r="R4" s="3726" t="s">
        <v>1771</v>
      </c>
      <c r="S4" s="3727"/>
      <c r="T4" s="3726" t="s">
        <v>1772</v>
      </c>
      <c r="U4" s="3727"/>
      <c r="V4" s="3711" t="s">
        <v>1773</v>
      </c>
      <c r="W4" s="3711"/>
      <c r="X4" s="1354"/>
      <c r="Y4" s="3726" t="s">
        <v>1775</v>
      </c>
      <c r="Z4" s="3727"/>
      <c r="AA4" s="3713" t="s">
        <v>1771</v>
      </c>
      <c r="AB4" s="3714" t="s">
        <v>1772</v>
      </c>
      <c r="AC4" s="3713" t="s">
        <v>1773</v>
      </c>
    </row>
    <row r="5" spans="1:29" ht="15">
      <c r="A5" s="357"/>
      <c r="B5" s="358"/>
      <c r="C5" s="3734" t="s">
        <v>1673</v>
      </c>
      <c r="D5" s="3735"/>
      <c r="E5" s="3806" t="s">
        <v>1674</v>
      </c>
      <c r="F5" s="3742"/>
      <c r="G5" s="3734" t="s">
        <v>1675</v>
      </c>
      <c r="H5" s="3735"/>
      <c r="I5" s="3734" t="s">
        <v>1676</v>
      </c>
      <c r="J5" s="3735"/>
      <c r="K5" s="558"/>
      <c r="L5" s="912"/>
      <c r="M5" s="913"/>
      <c r="N5" s="913"/>
      <c r="O5" s="913"/>
      <c r="P5" s="3722"/>
      <c r="Q5" s="3723"/>
      <c r="R5" s="3728"/>
      <c r="S5" s="3729"/>
      <c r="T5" s="3728"/>
      <c r="U5" s="3729"/>
      <c r="V5" s="3711"/>
      <c r="W5" s="3711"/>
      <c r="X5" s="1354"/>
      <c r="Y5" s="3728"/>
      <c r="Z5" s="3729"/>
      <c r="AA5" s="3714"/>
      <c r="AB5" s="3714"/>
      <c r="AC5" s="3714"/>
    </row>
    <row r="6" spans="1:29" ht="15.75" thickBot="1">
      <c r="A6" s="359"/>
      <c r="B6" s="360"/>
      <c r="C6" s="3732" t="s">
        <v>1677</v>
      </c>
      <c r="D6" s="3733"/>
      <c r="E6" s="3739" t="s">
        <v>1677</v>
      </c>
      <c r="F6" s="3740"/>
      <c r="G6" s="3732" t="s">
        <v>1677</v>
      </c>
      <c r="H6" s="3733"/>
      <c r="I6" s="3732" t="s">
        <v>1677</v>
      </c>
      <c r="J6" s="3733"/>
      <c r="K6" s="558" t="s">
        <v>1678</v>
      </c>
      <c r="L6" s="912"/>
      <c r="M6" s="913"/>
      <c r="N6" s="913"/>
      <c r="O6" s="913"/>
      <c r="P6" s="3724"/>
      <c r="Q6" s="3725"/>
      <c r="R6" s="3728"/>
      <c r="S6" s="3729"/>
      <c r="T6" s="3730"/>
      <c r="U6" s="3731"/>
      <c r="V6" s="3711"/>
      <c r="W6" s="3711"/>
      <c r="X6" s="1354"/>
      <c r="Y6" s="3730"/>
      <c r="Z6" s="3731"/>
      <c r="AA6" s="3715"/>
      <c r="AB6" s="3715"/>
      <c r="AC6" s="3715"/>
    </row>
    <row r="7" spans="1:29" s="107" customFormat="1" ht="15.75" thickBot="1">
      <c r="A7" s="361" t="s">
        <v>1679</v>
      </c>
      <c r="B7" s="362"/>
      <c r="C7" s="363">
        <f>'数据-取费表'!B2</f>
        <v>45299</v>
      </c>
      <c r="D7" s="364">
        <v>100</v>
      </c>
      <c r="E7" s="365"/>
      <c r="F7" s="366">
        <f>SUMIF(52:52,YEAR(E7)&amp;"-"&amp;MONTH(E7),53:53)</f>
        <v>0</v>
      </c>
      <c r="G7" s="365"/>
      <c r="H7" s="364">
        <f>SUMIF(52:52,YEAR(G7)&amp;"-"&amp;MONTH(G7),53:53)</f>
        <v>0</v>
      </c>
      <c r="I7" s="365"/>
      <c r="J7" s="364">
        <f>SUMIF(52:52,YEAR(I7)&amp;"-"&amp;MONTH(I7),53:53)</f>
        <v>0</v>
      </c>
      <c r="K7" s="559"/>
      <c r="L7" s="914"/>
      <c r="M7" s="915"/>
      <c r="N7" s="915"/>
      <c r="O7" s="915"/>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6" t="s">
        <v>1683</v>
      </c>
      <c r="Q8" s="3737"/>
      <c r="R8" s="700" t="s">
        <v>14</v>
      </c>
      <c r="S8" s="701">
        <f t="shared" si="0"/>
        <v>100</v>
      </c>
      <c r="T8" s="700" t="s">
        <v>14</v>
      </c>
      <c r="U8" s="701">
        <f t="shared" si="1"/>
        <v>100</v>
      </c>
      <c r="V8" s="700" t="s">
        <v>14</v>
      </c>
      <c r="W8" s="701">
        <f t="shared" si="2"/>
        <v>100</v>
      </c>
      <c r="X8" s="702"/>
      <c r="Y8" s="3736" t="s">
        <v>1683</v>
      </c>
      <c r="Z8" s="3737"/>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7" t="s">
        <v>1686</v>
      </c>
      <c r="Q9" s="1342" t="str">
        <f t="shared" ref="Q9:Q15" si="6">B9</f>
        <v>用途</v>
      </c>
      <c r="R9" s="700" t="s">
        <v>14</v>
      </c>
      <c r="S9" s="701">
        <f t="shared" si="0"/>
        <v>100</v>
      </c>
      <c r="T9" s="700" t="s">
        <v>14</v>
      </c>
      <c r="U9" s="701">
        <f t="shared" si="1"/>
        <v>100</v>
      </c>
      <c r="V9" s="700" t="s">
        <v>14</v>
      </c>
      <c r="W9" s="701">
        <f t="shared" si="2"/>
        <v>100</v>
      </c>
      <c r="X9" s="702"/>
      <c r="Y9" s="3597"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97"/>
      <c r="Q10" s="1342"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7"/>
      <c r="Q11" s="1342" t="str">
        <f t="shared" si="6"/>
        <v>容积率</v>
      </c>
      <c r="R11" s="700" t="s">
        <v>14</v>
      </c>
      <c r="S11" s="701">
        <f t="shared" si="0"/>
        <v>100</v>
      </c>
      <c r="T11" s="700" t="s">
        <v>14</v>
      </c>
      <c r="U11" s="701">
        <f t="shared" si="1"/>
        <v>100</v>
      </c>
      <c r="V11" s="700" t="s">
        <v>14</v>
      </c>
      <c r="W11" s="701">
        <f t="shared" si="2"/>
        <v>100</v>
      </c>
      <c r="X11" s="702"/>
      <c r="Y11" s="3597"/>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7"/>
      <c r="Q12" s="1342">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7"/>
      <c r="Q13" s="1342">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7"/>
      <c r="Q14" s="1342">
        <f t="shared" si="6"/>
        <v>111</v>
      </c>
      <c r="R14" s="700" t="s">
        <v>14</v>
      </c>
      <c r="S14" s="701">
        <f t="shared" si="0"/>
        <v>100</v>
      </c>
      <c r="T14" s="700" t="s">
        <v>14</v>
      </c>
      <c r="U14" s="701">
        <f t="shared" si="1"/>
        <v>100</v>
      </c>
      <c r="V14" s="700" t="s">
        <v>14</v>
      </c>
      <c r="W14" s="701">
        <f t="shared" si="2"/>
        <v>100</v>
      </c>
      <c r="X14" s="702"/>
      <c r="Y14" s="3597"/>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4" t="s">
        <v>1691</v>
      </c>
      <c r="Q15" s="1351" t="str">
        <f t="shared" si="6"/>
        <v>产业集聚程度</v>
      </c>
      <c r="R15" s="704" t="s">
        <v>14</v>
      </c>
      <c r="S15" s="705">
        <f t="shared" si="0"/>
        <v>100</v>
      </c>
      <c r="T15" s="704" t="s">
        <v>14</v>
      </c>
      <c r="U15" s="705">
        <f t="shared" si="1"/>
        <v>100</v>
      </c>
      <c r="V15" s="704" t="s">
        <v>14</v>
      </c>
      <c r="W15" s="705">
        <f t="shared" si="2"/>
        <v>100</v>
      </c>
      <c r="X15" s="1354"/>
      <c r="Y15" s="3704"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5"/>
      <c r="Q16" s="1351"/>
      <c r="R16" s="704"/>
      <c r="S16" s="705"/>
      <c r="T16" s="704"/>
      <c r="U16" s="705"/>
      <c r="V16" s="704"/>
      <c r="W16" s="705"/>
      <c r="X16" s="1354"/>
      <c r="Y16" s="3705"/>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5"/>
      <c r="Q18" s="1351"/>
      <c r="R18" s="704"/>
      <c r="S18" s="705"/>
      <c r="T18" s="704"/>
      <c r="U18" s="705"/>
      <c r="V18" s="704"/>
      <c r="W18" s="705"/>
      <c r="X18" s="1354"/>
      <c r="Y18" s="3705"/>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5"/>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5"/>
      <c r="Q20" s="1351"/>
      <c r="R20" s="704"/>
      <c r="S20" s="705"/>
      <c r="T20" s="704"/>
      <c r="U20" s="705"/>
      <c r="V20" s="704"/>
      <c r="W20" s="705"/>
      <c r="X20" s="1354"/>
      <c r="Y20" s="3705"/>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5"/>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5"/>
      <c r="Q22" s="1351"/>
      <c r="R22" s="704"/>
      <c r="S22" s="705"/>
      <c r="T22" s="704"/>
      <c r="U22" s="705"/>
      <c r="V22" s="704"/>
      <c r="W22" s="705"/>
      <c r="X22" s="1354"/>
      <c r="Y22" s="3705"/>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5"/>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5"/>
      <c r="Q24" s="1351"/>
      <c r="R24" s="704"/>
      <c r="S24" s="705"/>
      <c r="T24" s="704"/>
      <c r="U24" s="705"/>
      <c r="V24" s="704"/>
      <c r="W24" s="705"/>
      <c r="X24" s="1354"/>
      <c r="Y24" s="370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5"/>
      <c r="Q25" s="1351">
        <f>B25</f>
        <v>111</v>
      </c>
      <c r="R25" s="704" t="s">
        <v>14</v>
      </c>
      <c r="S25" s="705">
        <f>F25</f>
        <v>100</v>
      </c>
      <c r="T25" s="704" t="s">
        <v>14</v>
      </c>
      <c r="U25" s="705">
        <f>H25</f>
        <v>100</v>
      </c>
      <c r="V25" s="704" t="s">
        <v>14</v>
      </c>
      <c r="W25" s="705">
        <f>J25</f>
        <v>100</v>
      </c>
      <c r="X25" s="1354"/>
      <c r="Y25" s="370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5"/>
      <c r="Q26" s="1351">
        <f t="shared" ref="Q26:Q40" si="11">B26</f>
        <v>111</v>
      </c>
      <c r="R26" s="704" t="s">
        <v>14</v>
      </c>
      <c r="S26" s="705">
        <f>F26</f>
        <v>100</v>
      </c>
      <c r="T26" s="704" t="s">
        <v>14</v>
      </c>
      <c r="U26" s="705">
        <f>H26</f>
        <v>100</v>
      </c>
      <c r="V26" s="704" t="s">
        <v>14</v>
      </c>
      <c r="W26" s="705">
        <f>J26</f>
        <v>100</v>
      </c>
      <c r="X26" s="1354"/>
      <c r="Y26" s="3705"/>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5"/>
      <c r="Q27" s="1342">
        <f t="shared" si="11"/>
        <v>111</v>
      </c>
      <c r="R27" s="700" t="s">
        <v>14</v>
      </c>
      <c r="S27" s="701">
        <f>F27</f>
        <v>100</v>
      </c>
      <c r="T27" s="700" t="s">
        <v>14</v>
      </c>
      <c r="U27" s="701">
        <f>H27</f>
        <v>100</v>
      </c>
      <c r="V27" s="700" t="s">
        <v>14</v>
      </c>
      <c r="W27" s="701">
        <f>J27</f>
        <v>100</v>
      </c>
      <c r="X27" s="702"/>
      <c r="Y27" s="370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5"/>
      <c r="Q28" s="1351">
        <f t="shared" si="11"/>
        <v>111</v>
      </c>
      <c r="R28" s="704" t="s">
        <v>14</v>
      </c>
      <c r="S28" s="705">
        <f t="shared" ref="S28:S40" si="12">F28</f>
        <v>100</v>
      </c>
      <c r="T28" s="704" t="s">
        <v>14</v>
      </c>
      <c r="U28" s="705">
        <f t="shared" ref="U28:U40" si="13">H28</f>
        <v>100</v>
      </c>
      <c r="V28" s="704" t="s">
        <v>14</v>
      </c>
      <c r="W28" s="705">
        <f t="shared" ref="W28:W40" si="14">J28</f>
        <v>100</v>
      </c>
      <c r="X28" s="1354"/>
      <c r="Y28" s="3705"/>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807" t="s">
        <v>1696</v>
      </c>
      <c r="Q29" s="1351" t="str">
        <f t="shared" si="11"/>
        <v>建筑类型</v>
      </c>
      <c r="R29" s="704" t="s">
        <v>14</v>
      </c>
      <c r="S29" s="705">
        <f t="shared" si="12"/>
        <v>100</v>
      </c>
      <c r="T29" s="704" t="s">
        <v>14</v>
      </c>
      <c r="U29" s="705">
        <f t="shared" si="13"/>
        <v>100</v>
      </c>
      <c r="V29" s="704" t="s">
        <v>14</v>
      </c>
      <c r="W29" s="705">
        <f t="shared" si="14"/>
        <v>100</v>
      </c>
      <c r="X29" s="1354"/>
      <c r="Y29" s="3709"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9"/>
      <c r="Q30" s="706" t="str">
        <f t="shared" si="11"/>
        <v>项目建筑规模</v>
      </c>
      <c r="R30" s="707" t="s">
        <v>14</v>
      </c>
      <c r="S30" s="708" t="e">
        <f t="shared" si="12"/>
        <v>#N/A</v>
      </c>
      <c r="T30" s="707" t="s">
        <v>14</v>
      </c>
      <c r="U30" s="708" t="e">
        <f t="shared" si="13"/>
        <v>#N/A</v>
      </c>
      <c r="V30" s="707" t="s">
        <v>14</v>
      </c>
      <c r="W30" s="708" t="e">
        <f t="shared" si="14"/>
        <v>#N/A</v>
      </c>
      <c r="X30" s="709"/>
      <c r="Y30" s="3709"/>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9"/>
      <c r="Q31" s="1351" t="str">
        <f t="shared" si="11"/>
        <v>建筑结构</v>
      </c>
      <c r="R31" s="704" t="s">
        <v>14</v>
      </c>
      <c r="S31" s="705">
        <f t="shared" si="12"/>
        <v>100</v>
      </c>
      <c r="T31" s="704" t="s">
        <v>14</v>
      </c>
      <c r="U31" s="705">
        <f t="shared" si="13"/>
        <v>100</v>
      </c>
      <c r="V31" s="704" t="s">
        <v>14</v>
      </c>
      <c r="W31" s="705">
        <f t="shared" si="14"/>
        <v>100</v>
      </c>
      <c r="X31" s="1354"/>
      <c r="Y31" s="3709"/>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9"/>
      <c r="Q32" s="1351" t="str">
        <f t="shared" si="11"/>
        <v>公共部分装修</v>
      </c>
      <c r="R32" s="704" t="s">
        <v>14</v>
      </c>
      <c r="S32" s="705">
        <f t="shared" si="12"/>
        <v>100</v>
      </c>
      <c r="T32" s="704" t="s">
        <v>14</v>
      </c>
      <c r="U32" s="705">
        <f t="shared" si="13"/>
        <v>100</v>
      </c>
      <c r="V32" s="704" t="s">
        <v>14</v>
      </c>
      <c r="W32" s="705">
        <f t="shared" si="14"/>
        <v>100</v>
      </c>
      <c r="X32" s="1354"/>
      <c r="Y32" s="3709"/>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9"/>
      <c r="Q33" s="1351" t="str">
        <f t="shared" si="11"/>
        <v>成新度</v>
      </c>
      <c r="R33" s="704" t="s">
        <v>14</v>
      </c>
      <c r="S33" s="705" t="e">
        <f t="shared" si="12"/>
        <v>#N/A</v>
      </c>
      <c r="T33" s="704" t="s">
        <v>14</v>
      </c>
      <c r="U33" s="705" t="e">
        <f t="shared" si="13"/>
        <v>#N/A</v>
      </c>
      <c r="V33" s="704" t="s">
        <v>14</v>
      </c>
      <c r="W33" s="705" t="e">
        <f t="shared" si="14"/>
        <v>#N/A</v>
      </c>
      <c r="X33" s="1354"/>
      <c r="Y33" s="3709"/>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9"/>
      <c r="Q34" s="1342" t="str">
        <f t="shared" si="11"/>
        <v>物业管理</v>
      </c>
      <c r="R34" s="700" t="s">
        <v>14</v>
      </c>
      <c r="S34" s="701">
        <f t="shared" si="12"/>
        <v>100</v>
      </c>
      <c r="T34" s="700" t="s">
        <v>14</v>
      </c>
      <c r="U34" s="701">
        <f t="shared" si="13"/>
        <v>100</v>
      </c>
      <c r="V34" s="700" t="s">
        <v>14</v>
      </c>
      <c r="W34" s="701">
        <f t="shared" si="14"/>
        <v>100</v>
      </c>
      <c r="X34" s="702"/>
      <c r="Y34" s="3709"/>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9" t="s">
        <v>1696</v>
      </c>
      <c r="Q35" s="1351" t="str">
        <f t="shared" si="11"/>
        <v>市政基础设施</v>
      </c>
      <c r="R35" s="704" t="s">
        <v>14</v>
      </c>
      <c r="S35" s="705">
        <f t="shared" si="12"/>
        <v>100</v>
      </c>
      <c r="T35" s="704" t="s">
        <v>14</v>
      </c>
      <c r="U35" s="705">
        <f t="shared" si="13"/>
        <v>100</v>
      </c>
      <c r="V35" s="704" t="s">
        <v>14</v>
      </c>
      <c r="W35" s="705">
        <f t="shared" si="14"/>
        <v>100</v>
      </c>
      <c r="X35" s="1354"/>
      <c r="Y35" s="3709"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9"/>
      <c r="Q36" s="1351" t="str">
        <f t="shared" si="11"/>
        <v>内部装修</v>
      </c>
      <c r="R36" s="704" t="s">
        <v>14</v>
      </c>
      <c r="S36" s="705">
        <f t="shared" si="12"/>
        <v>100</v>
      </c>
      <c r="T36" s="704" t="s">
        <v>14</v>
      </c>
      <c r="U36" s="705">
        <f t="shared" si="13"/>
        <v>100</v>
      </c>
      <c r="V36" s="704" t="s">
        <v>14</v>
      </c>
      <c r="W36" s="705">
        <f t="shared" si="14"/>
        <v>100</v>
      </c>
      <c r="X36" s="1354"/>
      <c r="Y36" s="3709"/>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9"/>
      <c r="Q37" s="1351" t="str">
        <f t="shared" si="11"/>
        <v>内部装修状况</v>
      </c>
      <c r="R37" s="704" t="s">
        <v>14</v>
      </c>
      <c r="S37" s="705">
        <f t="shared" si="12"/>
        <v>100</v>
      </c>
      <c r="T37" s="704" t="s">
        <v>14</v>
      </c>
      <c r="U37" s="705">
        <f t="shared" si="13"/>
        <v>100</v>
      </c>
      <c r="V37" s="704" t="s">
        <v>14</v>
      </c>
      <c r="W37" s="705">
        <f t="shared" si="14"/>
        <v>100</v>
      </c>
      <c r="X37" s="1354"/>
      <c r="Y37" s="3709"/>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9"/>
      <c r="Q38" s="706">
        <f t="shared" si="11"/>
        <v>111</v>
      </c>
      <c r="R38" s="707" t="s">
        <v>14</v>
      </c>
      <c r="S38" s="708">
        <f t="shared" si="12"/>
        <v>100</v>
      </c>
      <c r="T38" s="707" t="s">
        <v>14</v>
      </c>
      <c r="U38" s="708">
        <f t="shared" si="13"/>
        <v>100</v>
      </c>
      <c r="V38" s="707" t="s">
        <v>14</v>
      </c>
      <c r="W38" s="708">
        <f t="shared" si="14"/>
        <v>100</v>
      </c>
      <c r="X38" s="709"/>
      <c r="Y38" s="3709"/>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9"/>
      <c r="Q39" s="1351">
        <f t="shared" si="11"/>
        <v>111</v>
      </c>
      <c r="R39" s="704" t="s">
        <v>14</v>
      </c>
      <c r="S39" s="705">
        <f t="shared" si="12"/>
        <v>100</v>
      </c>
      <c r="T39" s="704" t="s">
        <v>14</v>
      </c>
      <c r="U39" s="705">
        <f t="shared" si="13"/>
        <v>100</v>
      </c>
      <c r="V39" s="704" t="s">
        <v>14</v>
      </c>
      <c r="W39" s="705">
        <f t="shared" si="14"/>
        <v>100</v>
      </c>
      <c r="X39" s="1354"/>
      <c r="Y39" s="370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0"/>
      <c r="Q40" s="1351">
        <f t="shared" si="11"/>
        <v>111</v>
      </c>
      <c r="R40" s="704" t="s">
        <v>14</v>
      </c>
      <c r="S40" s="705">
        <f t="shared" si="12"/>
        <v>100</v>
      </c>
      <c r="T40" s="704" t="s">
        <v>14</v>
      </c>
      <c r="U40" s="705">
        <f t="shared" si="13"/>
        <v>100</v>
      </c>
      <c r="V40" s="704" t="s">
        <v>14</v>
      </c>
      <c r="W40" s="705">
        <f t="shared" si="14"/>
        <v>100</v>
      </c>
      <c r="X40" s="1354"/>
      <c r="Y40" s="3710"/>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97" t="str">
        <f>A41</f>
        <v>成交单价（元/平方米）</v>
      </c>
      <c r="Q41" s="3697"/>
      <c r="R41" s="3698">
        <f>E41</f>
        <v>0</v>
      </c>
      <c r="S41" s="3698"/>
      <c r="T41" s="3698">
        <f>G41</f>
        <v>0</v>
      </c>
      <c r="U41" s="3698"/>
      <c r="V41" s="3698">
        <f>I41</f>
        <v>0</v>
      </c>
      <c r="W41" s="3698"/>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7"/>
      <c r="O54" s="2768"/>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26" t="s">
        <v>1771</v>
      </c>
      <c r="S4" s="3727"/>
      <c r="T4" s="3726" t="s">
        <v>1772</v>
      </c>
      <c r="U4" s="3727"/>
      <c r="V4" s="3711" t="s">
        <v>1773</v>
      </c>
      <c r="W4" s="3711"/>
      <c r="X4" s="1354"/>
      <c r="Y4" s="3726" t="s">
        <v>1775</v>
      </c>
      <c r="Z4" s="3727"/>
      <c r="AA4" s="3713" t="s">
        <v>1771</v>
      </c>
      <c r="AB4" s="3714" t="s">
        <v>1772</v>
      </c>
      <c r="AC4" s="3713" t="s">
        <v>1773</v>
      </c>
    </row>
    <row r="5" spans="1:29" ht="15">
      <c r="A5" s="357"/>
      <c r="B5" s="358"/>
      <c r="C5" s="3734" t="s">
        <v>1673</v>
      </c>
      <c r="D5" s="3735"/>
      <c r="E5" s="3806" t="s">
        <v>1674</v>
      </c>
      <c r="F5" s="3742"/>
      <c r="G5" s="3734" t="s">
        <v>1675</v>
      </c>
      <c r="H5" s="3735"/>
      <c r="I5" s="3734" t="s">
        <v>1676</v>
      </c>
      <c r="J5" s="3735"/>
      <c r="K5" s="558"/>
      <c r="L5" s="2712"/>
      <c r="M5" s="2713"/>
      <c r="N5" s="2713"/>
      <c r="O5" s="2713"/>
      <c r="P5" s="3722"/>
      <c r="Q5" s="3723"/>
      <c r="R5" s="3728"/>
      <c r="S5" s="3729"/>
      <c r="T5" s="3728"/>
      <c r="U5" s="3729"/>
      <c r="V5" s="3711"/>
      <c r="W5" s="3711"/>
      <c r="X5" s="1354"/>
      <c r="Y5" s="3728"/>
      <c r="Z5" s="3729"/>
      <c r="AA5" s="3714"/>
      <c r="AB5" s="3714"/>
      <c r="AC5" s="3714"/>
    </row>
    <row r="6" spans="1:29" ht="15.75" thickBot="1">
      <c r="A6" s="359"/>
      <c r="B6" s="360"/>
      <c r="C6" s="3732" t="s">
        <v>1677</v>
      </c>
      <c r="D6" s="3733"/>
      <c r="E6" s="3739" t="s">
        <v>1677</v>
      </c>
      <c r="F6" s="3740"/>
      <c r="G6" s="3732" t="s">
        <v>1677</v>
      </c>
      <c r="H6" s="3733"/>
      <c r="I6" s="3732" t="s">
        <v>1677</v>
      </c>
      <c r="J6" s="3733"/>
      <c r="K6" s="558" t="s">
        <v>1678</v>
      </c>
      <c r="L6" s="2712"/>
      <c r="M6" s="2713"/>
      <c r="N6" s="2713"/>
      <c r="O6" s="2713"/>
      <c r="P6" s="3724"/>
      <c r="Q6" s="3725"/>
      <c r="R6" s="3728"/>
      <c r="S6" s="3729"/>
      <c r="T6" s="3730"/>
      <c r="U6" s="3731"/>
      <c r="V6" s="3711"/>
      <c r="W6" s="3711"/>
      <c r="X6" s="1354"/>
      <c r="Y6" s="3730"/>
      <c r="Z6" s="3731"/>
      <c r="AA6" s="3715"/>
      <c r="AB6" s="3715"/>
      <c r="AC6" s="3715"/>
    </row>
    <row r="7" spans="1:29" s="107" customFormat="1" ht="15.75" thickBot="1">
      <c r="A7" s="361" t="s">
        <v>1679</v>
      </c>
      <c r="B7" s="362"/>
      <c r="C7" s="363">
        <f>'数据-取费表'!B2</f>
        <v>45299</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36" t="s">
        <v>1680</v>
      </c>
      <c r="Q7" s="3738"/>
      <c r="R7" s="700" t="s">
        <v>14</v>
      </c>
      <c r="S7" s="701">
        <f t="shared" ref="S7:S14" si="0">F7</f>
        <v>0</v>
      </c>
      <c r="T7" s="700" t="s">
        <v>14</v>
      </c>
      <c r="U7" s="701">
        <f t="shared" ref="U7:U14" si="1">H7</f>
        <v>0</v>
      </c>
      <c r="V7" s="700" t="s">
        <v>14</v>
      </c>
      <c r="W7" s="701">
        <f t="shared" ref="W7:W14"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36" t="s">
        <v>1683</v>
      </c>
      <c r="Q8" s="3737"/>
      <c r="R8" s="700" t="s">
        <v>14</v>
      </c>
      <c r="S8" s="701">
        <f t="shared" si="0"/>
        <v>100</v>
      </c>
      <c r="T8" s="700" t="s">
        <v>14</v>
      </c>
      <c r="U8" s="701">
        <f t="shared" si="1"/>
        <v>100</v>
      </c>
      <c r="V8" s="700" t="s">
        <v>14</v>
      </c>
      <c r="W8" s="701">
        <f t="shared" si="2"/>
        <v>100</v>
      </c>
      <c r="X8" s="702"/>
      <c r="Y8" s="3736" t="s">
        <v>1683</v>
      </c>
      <c r="Z8" s="3737"/>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97" t="s">
        <v>1686</v>
      </c>
      <c r="Q9" s="1342" t="str">
        <f t="shared" ref="Q9:Q14" si="6">B9</f>
        <v>用途</v>
      </c>
      <c r="R9" s="700" t="s">
        <v>14</v>
      </c>
      <c r="S9" s="701">
        <f t="shared" si="0"/>
        <v>100</v>
      </c>
      <c r="T9" s="700" t="s">
        <v>14</v>
      </c>
      <c r="U9" s="701">
        <f t="shared" si="1"/>
        <v>100</v>
      </c>
      <c r="V9" s="700" t="s">
        <v>14</v>
      </c>
      <c r="W9" s="701">
        <f t="shared" si="2"/>
        <v>100</v>
      </c>
      <c r="X9" s="702"/>
      <c r="Y9" s="3597" t="s">
        <v>1687</v>
      </c>
      <c r="Z9" s="52" t="str">
        <f t="shared" ref="Z9:Z14" si="7">Q9</f>
        <v>用途</v>
      </c>
      <c r="AA9" s="703">
        <f t="shared" si="3"/>
        <v>1</v>
      </c>
      <c r="AB9" s="703">
        <f t="shared" si="4"/>
        <v>1</v>
      </c>
      <c r="AC9" s="703">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6"/>
      <c r="M10" s="2717"/>
      <c r="N10" s="2717"/>
      <c r="O10" s="2717"/>
      <c r="P10" s="3697"/>
      <c r="Q10" s="1342"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97"/>
      <c r="Q11" s="1342">
        <f t="shared" si="6"/>
        <v>111</v>
      </c>
      <c r="R11" s="700" t="s">
        <v>14</v>
      </c>
      <c r="S11" s="701">
        <f t="shared" si="0"/>
        <v>100</v>
      </c>
      <c r="T11" s="700" t="s">
        <v>14</v>
      </c>
      <c r="U11" s="701">
        <f t="shared" si="1"/>
        <v>100</v>
      </c>
      <c r="V11" s="700" t="s">
        <v>14</v>
      </c>
      <c r="W11" s="701">
        <f t="shared" si="2"/>
        <v>100</v>
      </c>
      <c r="X11" s="702"/>
      <c r="Y11" s="3597"/>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97"/>
      <c r="Q12" s="1342">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97"/>
      <c r="Q13" s="1342">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04" t="s">
        <v>1691</v>
      </c>
      <c r="Q14" s="1351" t="str">
        <f t="shared" si="6"/>
        <v>交通便捷度</v>
      </c>
      <c r="R14" s="704" t="s">
        <v>14</v>
      </c>
      <c r="S14" s="705">
        <f t="shared" si="0"/>
        <v>100</v>
      </c>
      <c r="T14" s="704" t="s">
        <v>14</v>
      </c>
      <c r="U14" s="705">
        <f t="shared" si="1"/>
        <v>100</v>
      </c>
      <c r="V14" s="704" t="s">
        <v>14</v>
      </c>
      <c r="W14" s="705">
        <f t="shared" si="2"/>
        <v>100</v>
      </c>
      <c r="X14" s="1354"/>
      <c r="Y14" s="3704"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9"/>
      <c r="M15" s="2713"/>
      <c r="N15" s="2713"/>
      <c r="O15" s="2713"/>
      <c r="P15" s="3705"/>
      <c r="Q15" s="1351"/>
      <c r="R15" s="704"/>
      <c r="S15" s="705"/>
      <c r="T15" s="704"/>
      <c r="U15" s="705"/>
      <c r="V15" s="704"/>
      <c r="W15" s="705"/>
      <c r="X15" s="1354"/>
      <c r="Y15" s="3705"/>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9"/>
      <c r="M17" s="2713"/>
      <c r="N17" s="2713"/>
      <c r="O17" s="2713"/>
      <c r="P17" s="3705"/>
      <c r="Q17" s="1351"/>
      <c r="R17" s="704"/>
      <c r="S17" s="705"/>
      <c r="T17" s="704"/>
      <c r="U17" s="705"/>
      <c r="V17" s="704"/>
      <c r="W17" s="705"/>
      <c r="X17" s="1354"/>
      <c r="Y17" s="3705"/>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9"/>
      <c r="M19" s="2713"/>
      <c r="N19" s="2713"/>
      <c r="O19" s="2713"/>
      <c r="P19" s="3705"/>
      <c r="Q19" s="1351"/>
      <c r="R19" s="704"/>
      <c r="S19" s="705"/>
      <c r="T19" s="704"/>
      <c r="U19" s="705"/>
      <c r="V19" s="704"/>
      <c r="W19" s="705"/>
      <c r="X19" s="1354"/>
      <c r="Y19" s="3705"/>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9"/>
      <c r="M21" s="2713"/>
      <c r="N21" s="2713"/>
      <c r="O21" s="2713"/>
      <c r="P21" s="3705"/>
      <c r="Q21" s="1351"/>
      <c r="R21" s="704"/>
      <c r="S21" s="705"/>
      <c r="T21" s="704"/>
      <c r="U21" s="705"/>
      <c r="V21" s="704"/>
      <c r="W21" s="705"/>
      <c r="X21" s="1354"/>
      <c r="Y21" s="3705"/>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05"/>
      <c r="Q24" s="1351">
        <f t="shared" ref="Q24:Q36"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80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9"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09"/>
      <c r="Q27" s="706" t="str">
        <f t="shared" si="11"/>
        <v>项目停车位配比</v>
      </c>
      <c r="R27" s="707" t="s">
        <v>14</v>
      </c>
      <c r="S27" s="708">
        <f t="shared" si="12"/>
        <v>100</v>
      </c>
      <c r="T27" s="707" t="s">
        <v>14</v>
      </c>
      <c r="U27" s="708">
        <f t="shared" si="13"/>
        <v>100</v>
      </c>
      <c r="V27" s="707" t="s">
        <v>14</v>
      </c>
      <c r="W27" s="708">
        <f t="shared" si="14"/>
        <v>100</v>
      </c>
      <c r="X27" s="709"/>
      <c r="Y27" s="3709"/>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09"/>
      <c r="Q28" s="1351" t="str">
        <f t="shared" si="11"/>
        <v>公共部分装修</v>
      </c>
      <c r="R28" s="704" t="s">
        <v>14</v>
      </c>
      <c r="S28" s="705">
        <f t="shared" si="12"/>
        <v>100</v>
      </c>
      <c r="T28" s="704" t="s">
        <v>14</v>
      </c>
      <c r="U28" s="705">
        <f t="shared" si="13"/>
        <v>100</v>
      </c>
      <c r="V28" s="704" t="s">
        <v>14</v>
      </c>
      <c r="W28" s="705">
        <f t="shared" si="14"/>
        <v>100</v>
      </c>
      <c r="X28" s="1354"/>
      <c r="Y28" s="3709"/>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09"/>
      <c r="Q29" s="1351" t="str">
        <f t="shared" si="11"/>
        <v>成新率</v>
      </c>
      <c r="R29" s="704" t="s">
        <v>14</v>
      </c>
      <c r="S29" s="705" t="e">
        <f t="shared" si="12"/>
        <v>#N/A</v>
      </c>
      <c r="T29" s="704" t="s">
        <v>14</v>
      </c>
      <c r="U29" s="705" t="e">
        <f t="shared" si="13"/>
        <v>#N/A</v>
      </c>
      <c r="V29" s="704" t="s">
        <v>14</v>
      </c>
      <c r="W29" s="705" t="e">
        <f t="shared" si="14"/>
        <v>#N/A</v>
      </c>
      <c r="X29" s="1354"/>
      <c r="Y29" s="3709"/>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09"/>
      <c r="Q30" s="1351" t="str">
        <f t="shared" si="11"/>
        <v>物业等级</v>
      </c>
      <c r="R30" s="704" t="s">
        <v>14</v>
      </c>
      <c r="S30" s="705">
        <f t="shared" si="12"/>
        <v>100</v>
      </c>
      <c r="T30" s="704" t="s">
        <v>14</v>
      </c>
      <c r="U30" s="705">
        <f t="shared" si="13"/>
        <v>100</v>
      </c>
      <c r="V30" s="704" t="s">
        <v>14</v>
      </c>
      <c r="W30" s="705">
        <f t="shared" si="14"/>
        <v>100</v>
      </c>
      <c r="X30" s="1354"/>
      <c r="Y30" s="3709"/>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09"/>
      <c r="Q31" s="1342" t="str">
        <f t="shared" si="11"/>
        <v>停车位面积</v>
      </c>
      <c r="R31" s="700" t="s">
        <v>14</v>
      </c>
      <c r="S31" s="701" t="e">
        <f t="shared" si="12"/>
        <v>#N/A</v>
      </c>
      <c r="T31" s="700" t="s">
        <v>14</v>
      </c>
      <c r="U31" s="701" t="e">
        <f t="shared" si="13"/>
        <v>#N/A</v>
      </c>
      <c r="V31" s="700" t="s">
        <v>14</v>
      </c>
      <c r="W31" s="701" t="e">
        <f t="shared" si="14"/>
        <v>#N/A</v>
      </c>
      <c r="X31" s="702"/>
      <c r="Y31" s="3709"/>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09" t="s">
        <v>1696</v>
      </c>
      <c r="Q32" s="1351" t="str">
        <f t="shared" si="11"/>
        <v>车位类型</v>
      </c>
      <c r="R32" s="704" t="s">
        <v>14</v>
      </c>
      <c r="S32" s="705">
        <f t="shared" si="12"/>
        <v>100</v>
      </c>
      <c r="T32" s="704" t="s">
        <v>14</v>
      </c>
      <c r="U32" s="705">
        <f t="shared" si="13"/>
        <v>100</v>
      </c>
      <c r="V32" s="704" t="s">
        <v>14</v>
      </c>
      <c r="W32" s="705">
        <f t="shared" si="14"/>
        <v>100</v>
      </c>
      <c r="X32" s="1354"/>
      <c r="Y32" s="3709"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09"/>
      <c r="Q33" s="1351" t="str">
        <f t="shared" si="11"/>
        <v>是否直接入户</v>
      </c>
      <c r="R33" s="704" t="s">
        <v>14</v>
      </c>
      <c r="S33" s="705">
        <f t="shared" si="12"/>
        <v>100</v>
      </c>
      <c r="T33" s="704" t="s">
        <v>14</v>
      </c>
      <c r="U33" s="705">
        <f t="shared" si="13"/>
        <v>100</v>
      </c>
      <c r="V33" s="704" t="s">
        <v>14</v>
      </c>
      <c r="W33" s="705">
        <f t="shared" si="14"/>
        <v>100</v>
      </c>
      <c r="X33" s="1354"/>
      <c r="Y33" s="370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09"/>
      <c r="Q35" s="706">
        <f t="shared" si="11"/>
        <v>111</v>
      </c>
      <c r="R35" s="707" t="s">
        <v>14</v>
      </c>
      <c r="S35" s="708">
        <f t="shared" si="12"/>
        <v>100</v>
      </c>
      <c r="T35" s="707" t="s">
        <v>14</v>
      </c>
      <c r="U35" s="708">
        <f t="shared" si="13"/>
        <v>100</v>
      </c>
      <c r="V35" s="707" t="s">
        <v>14</v>
      </c>
      <c r="W35" s="708">
        <f t="shared" si="14"/>
        <v>100</v>
      </c>
      <c r="X35" s="709"/>
      <c r="Y35" s="370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09"/>
      <c r="Q36" s="1351">
        <f t="shared" si="11"/>
        <v>111</v>
      </c>
      <c r="R36" s="704" t="s">
        <v>14</v>
      </c>
      <c r="S36" s="705">
        <f t="shared" si="12"/>
        <v>100</v>
      </c>
      <c r="T36" s="704" t="s">
        <v>14</v>
      </c>
      <c r="U36" s="705">
        <f t="shared" si="13"/>
        <v>100</v>
      </c>
      <c r="V36" s="704" t="s">
        <v>14</v>
      </c>
      <c r="W36" s="705">
        <f t="shared" si="14"/>
        <v>100</v>
      </c>
      <c r="X36" s="1354"/>
      <c r="Y36" s="3709"/>
      <c r="Z36" s="1355">
        <f t="shared" si="15"/>
        <v>111</v>
      </c>
      <c r="AA36" s="1352">
        <f t="shared" si="3"/>
        <v>1</v>
      </c>
      <c r="AB36" s="1352">
        <f t="shared" si="4"/>
        <v>1</v>
      </c>
      <c r="AC36" s="1352">
        <f t="shared" si="5"/>
        <v>1</v>
      </c>
    </row>
    <row r="37" spans="1:29" ht="15">
      <c r="A37" s="429" t="s">
        <v>1844</v>
      </c>
      <c r="B37" s="1972" t="s">
        <v>3355</v>
      </c>
      <c r="C37" s="1153" t="s">
        <v>0</v>
      </c>
      <c r="D37" s="1154"/>
      <c r="E37" s="1155"/>
      <c r="F37" s="1156"/>
      <c r="G37" s="1157"/>
      <c r="H37" s="1158"/>
      <c r="I37" s="1155"/>
      <c r="J37" s="1158"/>
      <c r="K37" s="567"/>
      <c r="L37" s="2721"/>
      <c r="M37" s="2722"/>
      <c r="N37" s="2713"/>
      <c r="O37" s="2722"/>
      <c r="P37" s="3697" t="str">
        <f>A37</f>
        <v>成交单价</v>
      </c>
      <c r="Q37" s="3697"/>
      <c r="R37" s="3698">
        <f>E37</f>
        <v>0</v>
      </c>
      <c r="S37" s="3698"/>
      <c r="T37" s="3698">
        <f>G37</f>
        <v>0</v>
      </c>
      <c r="U37" s="3698"/>
      <c r="V37" s="3698">
        <f>I37</f>
        <v>0</v>
      </c>
      <c r="W37" s="3698"/>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1"/>
      <c r="M39" s="2722"/>
      <c r="N39" s="2722"/>
      <c r="O39" s="2722"/>
      <c r="P39" s="3699" t="str">
        <f>A39</f>
        <v>估价对象XX用房的比较价值（楼面单价，元/平方米）</v>
      </c>
      <c r="Q39" s="3700"/>
      <c r="R39" s="3808" t="e">
        <f>IF(F1="售价",ROUND(IF(D38="简单平均",AVERAGE(R38:W38),R38*F38+T38*H38+V38*J38),0),ROUND(IF(D38="简单平均",AVERAGE(R38:V38),R38*F38+T38*H38+V38*J38),1))</f>
        <v>#DIV/0!</v>
      </c>
      <c r="S39" s="3808"/>
      <c r="T39" s="3808"/>
      <c r="U39" s="3808"/>
      <c r="V39" s="3808"/>
      <c r="W39" s="380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6"/>
      <c r="Q48" s="2738"/>
      <c r="R48" s="2738"/>
      <c r="S48" s="2738"/>
      <c r="T48" s="2738"/>
      <c r="U48" s="2738"/>
      <c r="V48" s="2738"/>
      <c r="W48" s="2738"/>
      <c r="X48" s="2738"/>
      <c r="Y48" s="2738"/>
      <c r="Z48" s="2738"/>
      <c r="AA48" s="2738"/>
      <c r="AB48" s="2738"/>
      <c r="AC48" s="2738"/>
    </row>
    <row r="49" spans="1:29" s="107" customFormat="1" ht="15">
      <c r="A49" s="457"/>
      <c r="B49" s="458"/>
      <c r="C49" s="1176">
        <v>100</v>
      </c>
      <c r="D49" s="460"/>
      <c r="E49" s="460"/>
      <c r="F49" s="460"/>
      <c r="G49" s="460"/>
      <c r="H49" s="460"/>
      <c r="I49" s="460"/>
      <c r="J49" s="460"/>
      <c r="K49" s="460"/>
      <c r="L49" s="460"/>
      <c r="M49" s="461"/>
      <c r="N49" s="460"/>
      <c r="O49" s="461"/>
      <c r="P49" s="2757"/>
      <c r="Q49" s="2659"/>
      <c r="R49" s="2659"/>
      <c r="S49" s="2659"/>
      <c r="T49" s="2659"/>
      <c r="U49" s="2659"/>
      <c r="V49" s="2659"/>
      <c r="W49" s="2659"/>
      <c r="X49" s="2659"/>
      <c r="Y49" s="2659"/>
      <c r="Z49" s="2659"/>
      <c r="AA49" s="2659"/>
      <c r="AB49" s="2659"/>
      <c r="AC49" s="2659"/>
    </row>
    <row r="50" spans="1:29" s="107" customFormat="1" ht="15.75" thickBot="1">
      <c r="A50" s="463" t="s">
        <v>1716</v>
      </c>
      <c r="B50" s="464"/>
      <c r="C50" s="465"/>
      <c r="D50" s="466"/>
      <c r="E50" s="466"/>
      <c r="F50" s="466"/>
      <c r="G50" s="466"/>
      <c r="H50" s="466"/>
      <c r="I50" s="466"/>
      <c r="J50" s="466"/>
      <c r="K50" s="466"/>
      <c r="L50" s="466"/>
      <c r="M50" s="467"/>
      <c r="N50" s="466"/>
      <c r="O50" s="467"/>
      <c r="P50" s="2757"/>
      <c r="Q50" s="2736"/>
      <c r="R50" s="2659"/>
      <c r="S50" s="2659"/>
      <c r="T50" s="2659"/>
      <c r="U50" s="2659"/>
      <c r="V50" s="2659"/>
      <c r="W50" s="2659"/>
      <c r="X50" s="2659"/>
      <c r="Y50" s="2659"/>
      <c r="Z50" s="2659"/>
      <c r="AA50" s="2659"/>
      <c r="AB50" s="2659"/>
      <c r="AC50" s="2659"/>
    </row>
    <row r="51" spans="1:29" s="107" customFormat="1" ht="15">
      <c r="A51" s="469" t="s">
        <v>1681</v>
      </c>
      <c r="B51" s="458"/>
      <c r="C51" s="470" t="s">
        <v>1776</v>
      </c>
      <c r="D51" s="471"/>
      <c r="E51" s="471"/>
      <c r="F51" s="471"/>
      <c r="G51" s="471"/>
      <c r="H51" s="471"/>
      <c r="I51" s="471"/>
      <c r="J51" s="471"/>
      <c r="K51" s="471"/>
      <c r="L51" s="472"/>
      <c r="M51" s="473"/>
      <c r="N51" s="2749"/>
      <c r="O51" s="2749"/>
      <c r="P51" s="2758"/>
      <c r="Q51" s="2736"/>
      <c r="R51" s="2659"/>
      <c r="S51" s="2659"/>
      <c r="T51" s="2659"/>
      <c r="U51" s="2659"/>
      <c r="V51" s="2659"/>
      <c r="W51" s="2659"/>
      <c r="X51" s="2659"/>
      <c r="Y51" s="2659"/>
      <c r="Z51" s="2659"/>
      <c r="AA51" s="2659"/>
      <c r="AB51" s="2659"/>
      <c r="AC51" s="2659"/>
    </row>
    <row r="52" spans="1:29" s="107" customFormat="1" ht="15.75" thickBot="1">
      <c r="A52" s="469"/>
      <c r="B52" s="458"/>
      <c r="C52" s="586">
        <v>100</v>
      </c>
      <c r="D52" s="460"/>
      <c r="E52" s="460"/>
      <c r="F52" s="460"/>
      <c r="G52" s="460"/>
      <c r="H52" s="460"/>
      <c r="I52" s="460"/>
      <c r="J52" s="460"/>
      <c r="K52" s="460"/>
      <c r="L52" s="460"/>
      <c r="M52" s="462"/>
      <c r="N52" s="2749"/>
      <c r="O52" s="2749"/>
      <c r="P52" s="2757"/>
      <c r="Q52" s="2736"/>
      <c r="R52" s="2659"/>
      <c r="S52" s="2659"/>
      <c r="T52" s="2659"/>
      <c r="U52" s="2659"/>
      <c r="V52" s="2659"/>
      <c r="W52" s="2659"/>
      <c r="X52" s="2659"/>
      <c r="Y52" s="2659"/>
      <c r="Z52" s="2659"/>
      <c r="AA52" s="2659"/>
      <c r="AB52" s="2659"/>
      <c r="AC52" s="2659"/>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8"/>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7" customFormat="1" ht="15.75" thickTop="1">
      <c r="A73" s="527"/>
      <c r="B73" s="486">
        <f>B23</f>
        <v>111</v>
      </c>
      <c r="C73" s="497"/>
      <c r="D73" s="497"/>
      <c r="E73" s="497"/>
      <c r="F73" s="497"/>
      <c r="G73" s="502"/>
      <c r="H73" s="502"/>
      <c r="I73" s="502"/>
      <c r="J73" s="502"/>
      <c r="K73" s="502"/>
      <c r="L73" s="528"/>
      <c r="M73" s="529"/>
      <c r="N73" s="2749"/>
      <c r="O73" s="2749"/>
      <c r="P73" s="2759"/>
      <c r="Q73" s="2736"/>
      <c r="R73" s="2659"/>
      <c r="S73" s="2659"/>
      <c r="T73" s="2659"/>
      <c r="U73" s="2659"/>
      <c r="V73" s="2659"/>
      <c r="W73" s="2659"/>
      <c r="X73" s="2659"/>
      <c r="Y73" s="2659"/>
      <c r="Z73" s="2659"/>
      <c r="AA73" s="2659"/>
      <c r="AB73" s="2659"/>
      <c r="AC73" s="2659"/>
    </row>
    <row r="74" spans="1:29" s="107" customFormat="1" ht="15.75" thickBot="1">
      <c r="A74" s="527"/>
      <c r="B74" s="491"/>
      <c r="C74" s="508"/>
      <c r="D74" s="484"/>
      <c r="E74" s="484"/>
      <c r="F74" s="484"/>
      <c r="G74" s="484"/>
      <c r="H74" s="484"/>
      <c r="I74" s="484"/>
      <c r="J74" s="484"/>
      <c r="K74" s="484"/>
      <c r="L74" s="484"/>
      <c r="M74" s="485"/>
      <c r="N74" s="2751"/>
      <c r="O74" s="2751"/>
      <c r="P74" s="2759"/>
      <c r="Q74" s="2736"/>
      <c r="R74" s="2659"/>
      <c r="S74" s="2659"/>
      <c r="T74" s="2659"/>
      <c r="U74" s="2659"/>
      <c r="V74" s="2659"/>
      <c r="W74" s="2659"/>
      <c r="X74" s="2659"/>
      <c r="Y74" s="2659"/>
      <c r="Z74" s="2659"/>
      <c r="AA74" s="2659"/>
      <c r="AB74" s="2659"/>
      <c r="AC74" s="2659"/>
    </row>
    <row r="75" spans="1:29" s="107" customFormat="1" ht="15.75" thickTop="1">
      <c r="A75" s="527"/>
      <c r="B75" s="486">
        <f>B24</f>
        <v>111</v>
      </c>
      <c r="C75" s="497"/>
      <c r="D75" s="497"/>
      <c r="E75" s="497"/>
      <c r="F75" s="497"/>
      <c r="G75" s="502"/>
      <c r="H75" s="502"/>
      <c r="I75" s="502"/>
      <c r="J75" s="502"/>
      <c r="K75" s="502"/>
      <c r="L75" s="502"/>
      <c r="M75" s="529"/>
      <c r="N75" s="2749"/>
      <c r="O75" s="2749"/>
      <c r="P75" s="2759"/>
      <c r="Q75" s="2736"/>
      <c r="R75" s="2659"/>
      <c r="S75" s="2659"/>
      <c r="T75" s="2659"/>
      <c r="U75" s="2659"/>
      <c r="V75" s="2659"/>
      <c r="W75" s="2659"/>
      <c r="X75" s="2659"/>
      <c r="Y75" s="2659"/>
      <c r="Z75" s="2659"/>
      <c r="AA75" s="2659"/>
      <c r="AB75" s="2659"/>
      <c r="AC75" s="2659"/>
    </row>
    <row r="76" spans="1:29" s="107" customFormat="1" ht="15.75" thickBot="1">
      <c r="A76" s="527"/>
      <c r="B76" s="491"/>
      <c r="C76" s="508"/>
      <c r="D76" s="484"/>
      <c r="E76" s="484"/>
      <c r="F76" s="484"/>
      <c r="G76" s="484"/>
      <c r="H76" s="484"/>
      <c r="I76" s="484"/>
      <c r="J76" s="484"/>
      <c r="K76" s="484"/>
      <c r="L76" s="484"/>
      <c r="M76" s="485"/>
      <c r="N76" s="2751"/>
      <c r="O76" s="2751"/>
      <c r="P76" s="2759"/>
      <c r="Q76" s="2736"/>
      <c r="R76" s="2659"/>
      <c r="S76" s="2659"/>
      <c r="T76" s="2659"/>
      <c r="U76" s="2659"/>
      <c r="V76" s="2659"/>
      <c r="W76" s="2659"/>
      <c r="X76" s="2659"/>
      <c r="Y76" s="2659"/>
      <c r="Z76" s="2659"/>
      <c r="AA76" s="2659"/>
      <c r="AB76" s="2659"/>
      <c r="AC76" s="2659"/>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26" t="s">
        <v>1771</v>
      </c>
      <c r="S4" s="3727"/>
      <c r="T4" s="3726" t="s">
        <v>1772</v>
      </c>
      <c r="U4" s="3727"/>
      <c r="V4" s="3711" t="s">
        <v>1773</v>
      </c>
      <c r="W4" s="3711"/>
      <c r="X4" s="1354"/>
      <c r="Y4" s="3726" t="s">
        <v>1775</v>
      </c>
      <c r="Z4" s="3727"/>
      <c r="AA4" s="3713" t="s">
        <v>1771</v>
      </c>
      <c r="AB4" s="3714" t="s">
        <v>1772</v>
      </c>
      <c r="AC4" s="3713" t="s">
        <v>1773</v>
      </c>
    </row>
    <row r="5" spans="1:29" ht="15">
      <c r="A5" s="357"/>
      <c r="B5" s="358"/>
      <c r="C5" s="3734" t="s">
        <v>1673</v>
      </c>
      <c r="D5" s="3735"/>
      <c r="E5" s="3806" t="s">
        <v>1674</v>
      </c>
      <c r="F5" s="3742"/>
      <c r="G5" s="3734" t="s">
        <v>1675</v>
      </c>
      <c r="H5" s="3735"/>
      <c r="I5" s="3734" t="s">
        <v>1676</v>
      </c>
      <c r="J5" s="3735"/>
      <c r="K5" s="558"/>
      <c r="L5" s="2712"/>
      <c r="M5" s="2713"/>
      <c r="N5" s="2713"/>
      <c r="O5" s="2713"/>
      <c r="P5" s="3722"/>
      <c r="Q5" s="3723"/>
      <c r="R5" s="3728"/>
      <c r="S5" s="3729"/>
      <c r="T5" s="3728"/>
      <c r="U5" s="3729"/>
      <c r="V5" s="3711"/>
      <c r="W5" s="3711"/>
      <c r="X5" s="1354"/>
      <c r="Y5" s="3728"/>
      <c r="Z5" s="3729"/>
      <c r="AA5" s="3714"/>
      <c r="AB5" s="3714"/>
      <c r="AC5" s="3714"/>
    </row>
    <row r="6" spans="1:29" ht="15.75" thickBot="1">
      <c r="A6" s="359"/>
      <c r="B6" s="360"/>
      <c r="C6" s="3732" t="s">
        <v>1677</v>
      </c>
      <c r="D6" s="3733"/>
      <c r="E6" s="3739" t="s">
        <v>1677</v>
      </c>
      <c r="F6" s="3740"/>
      <c r="G6" s="3732" t="s">
        <v>1677</v>
      </c>
      <c r="H6" s="3733"/>
      <c r="I6" s="3732" t="s">
        <v>1677</v>
      </c>
      <c r="J6" s="3733"/>
      <c r="K6" s="558" t="s">
        <v>1678</v>
      </c>
      <c r="L6" s="2712"/>
      <c r="M6" s="2713"/>
      <c r="N6" s="2713"/>
      <c r="O6" s="2713"/>
      <c r="P6" s="3724"/>
      <c r="Q6" s="3725"/>
      <c r="R6" s="3728"/>
      <c r="S6" s="3729"/>
      <c r="T6" s="3730"/>
      <c r="U6" s="3731"/>
      <c r="V6" s="3711"/>
      <c r="W6" s="3711"/>
      <c r="X6" s="1354"/>
      <c r="Y6" s="3730"/>
      <c r="Z6" s="3731"/>
      <c r="AA6" s="3715"/>
      <c r="AB6" s="3715"/>
      <c r="AC6" s="3715"/>
    </row>
    <row r="7" spans="1:29" s="107" customFormat="1" ht="15.75" thickBot="1">
      <c r="A7" s="361" t="s">
        <v>1679</v>
      </c>
      <c r="B7" s="362"/>
      <c r="C7" s="363">
        <f>'数据-取费表'!B2</f>
        <v>45299</v>
      </c>
      <c r="D7" s="364">
        <v>100</v>
      </c>
      <c r="E7" s="365"/>
      <c r="F7" s="366">
        <f>SUMIF(46:46,YEAR(E7)&amp;"-"&amp;MONTH(E7),47:47)</f>
        <v>0</v>
      </c>
      <c r="G7" s="1973"/>
      <c r="H7" s="364">
        <f>SUMIF(46:46,YEAR(G7)&amp;"-"&amp;MONTH(G7),47:47)</f>
        <v>0</v>
      </c>
      <c r="I7" s="365"/>
      <c r="J7" s="364">
        <f>SUMIF(46:46,YEAR(I7)&amp;"-"&amp;MONTH(I7),47:47)</f>
        <v>0</v>
      </c>
      <c r="K7" s="559"/>
      <c r="L7" s="2714"/>
      <c r="M7" s="2715"/>
      <c r="N7" s="2715"/>
      <c r="O7" s="2715"/>
      <c r="P7" s="3736" t="s">
        <v>1680</v>
      </c>
      <c r="Q7" s="3738"/>
      <c r="R7" s="700" t="s">
        <v>14</v>
      </c>
      <c r="S7" s="701">
        <f t="shared" ref="S7:S14" si="0">F7</f>
        <v>0</v>
      </c>
      <c r="T7" s="700" t="s">
        <v>14</v>
      </c>
      <c r="U7" s="701">
        <f t="shared" ref="U7:U14" si="1">H7</f>
        <v>0</v>
      </c>
      <c r="V7" s="700" t="s">
        <v>14</v>
      </c>
      <c r="W7" s="701">
        <f t="shared" ref="W7:W14"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36" t="s">
        <v>1683</v>
      </c>
      <c r="Q8" s="3737"/>
      <c r="R8" s="700" t="s">
        <v>14</v>
      </c>
      <c r="S8" s="701">
        <f t="shared" si="0"/>
        <v>100</v>
      </c>
      <c r="T8" s="700" t="s">
        <v>14</v>
      </c>
      <c r="U8" s="701">
        <f t="shared" si="1"/>
        <v>100</v>
      </c>
      <c r="V8" s="700" t="s">
        <v>14</v>
      </c>
      <c r="W8" s="701">
        <f t="shared" si="2"/>
        <v>100</v>
      </c>
      <c r="X8" s="702"/>
      <c r="Y8" s="3736" t="s">
        <v>1683</v>
      </c>
      <c r="Z8" s="3737"/>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697" t="s">
        <v>1686</v>
      </c>
      <c r="Q9" s="1342" t="str">
        <f t="shared" ref="Q9:Q14" si="6">B9</f>
        <v>用途</v>
      </c>
      <c r="R9" s="700" t="s">
        <v>14</v>
      </c>
      <c r="S9" s="701">
        <f t="shared" si="0"/>
        <v>100</v>
      </c>
      <c r="T9" s="700" t="s">
        <v>14</v>
      </c>
      <c r="U9" s="701">
        <f t="shared" si="1"/>
        <v>100</v>
      </c>
      <c r="V9" s="700" t="s">
        <v>14</v>
      </c>
      <c r="W9" s="701">
        <f t="shared" si="2"/>
        <v>100</v>
      </c>
      <c r="X9" s="702"/>
      <c r="Y9" s="3597" t="s">
        <v>1687</v>
      </c>
      <c r="Z9" s="52" t="str">
        <f t="shared" ref="Z9:Z14" si="7">Q9</f>
        <v>用途</v>
      </c>
      <c r="AA9" s="703">
        <f t="shared" si="3"/>
        <v>1</v>
      </c>
      <c r="AB9" s="703">
        <f t="shared" si="4"/>
        <v>1</v>
      </c>
      <c r="AC9" s="703">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6"/>
      <c r="M10" s="2717"/>
      <c r="N10" s="2717"/>
      <c r="O10" s="2770"/>
      <c r="P10" s="3697"/>
      <c r="Q10" s="1342" t="str">
        <f t="shared" si="6"/>
        <v>土地使用年限（年）</v>
      </c>
      <c r="R10" s="700" t="s">
        <v>14</v>
      </c>
      <c r="S10" s="701">
        <f t="shared" si="0"/>
        <v>100</v>
      </c>
      <c r="T10" s="700" t="s">
        <v>14</v>
      </c>
      <c r="U10" s="701">
        <f t="shared" si="1"/>
        <v>100</v>
      </c>
      <c r="V10" s="700" t="s">
        <v>14</v>
      </c>
      <c r="W10" s="701">
        <f t="shared" si="2"/>
        <v>100</v>
      </c>
      <c r="X10" s="702"/>
      <c r="Y10" s="3597"/>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697"/>
      <c r="Q11" s="1342">
        <f t="shared" si="6"/>
        <v>111</v>
      </c>
      <c r="R11" s="700" t="s">
        <v>14</v>
      </c>
      <c r="S11" s="701">
        <f t="shared" si="0"/>
        <v>100</v>
      </c>
      <c r="T11" s="700" t="s">
        <v>14</v>
      </c>
      <c r="U11" s="701">
        <f t="shared" si="1"/>
        <v>100</v>
      </c>
      <c r="V11" s="700" t="s">
        <v>14</v>
      </c>
      <c r="W11" s="701">
        <f t="shared" si="2"/>
        <v>100</v>
      </c>
      <c r="X11" s="702"/>
      <c r="Y11" s="3597"/>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697"/>
      <c r="Q12" s="1342">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9"/>
      <c r="M13" s="2713"/>
      <c r="N13" s="2713"/>
      <c r="O13" s="2771"/>
      <c r="P13" s="3697"/>
      <c r="Q13" s="1342">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704" t="s">
        <v>1691</v>
      </c>
      <c r="Q14" s="1351" t="str">
        <f t="shared" si="6"/>
        <v>交通便捷度</v>
      </c>
      <c r="R14" s="704" t="s">
        <v>14</v>
      </c>
      <c r="S14" s="705">
        <f t="shared" si="0"/>
        <v>100</v>
      </c>
      <c r="T14" s="704" t="s">
        <v>14</v>
      </c>
      <c r="U14" s="705">
        <f t="shared" si="1"/>
        <v>100</v>
      </c>
      <c r="V14" s="704" t="s">
        <v>14</v>
      </c>
      <c r="W14" s="705">
        <f t="shared" si="2"/>
        <v>100</v>
      </c>
      <c r="X14" s="1354"/>
      <c r="Y14" s="3704"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9"/>
      <c r="M15" s="2713"/>
      <c r="N15" s="2713"/>
      <c r="O15" s="2771"/>
      <c r="P15" s="3705"/>
      <c r="Q15" s="1351"/>
      <c r="R15" s="704"/>
      <c r="S15" s="705"/>
      <c r="T15" s="704"/>
      <c r="U15" s="705"/>
      <c r="V15" s="704"/>
      <c r="W15" s="705"/>
      <c r="X15" s="1354"/>
      <c r="Y15" s="3705"/>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9"/>
      <c r="M17" s="2713"/>
      <c r="N17" s="2713"/>
      <c r="O17" s="2771"/>
      <c r="P17" s="3705"/>
      <c r="Q17" s="1351"/>
      <c r="R17" s="704"/>
      <c r="S17" s="705"/>
      <c r="T17" s="704"/>
      <c r="U17" s="705"/>
      <c r="V17" s="704"/>
      <c r="W17" s="705"/>
      <c r="X17" s="1354"/>
      <c r="Y17" s="3705"/>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9"/>
      <c r="M19" s="2713"/>
      <c r="N19" s="2713"/>
      <c r="O19" s="2771"/>
      <c r="P19" s="3705"/>
      <c r="Q19" s="1351"/>
      <c r="R19" s="704"/>
      <c r="S19" s="705"/>
      <c r="T19" s="704"/>
      <c r="U19" s="705"/>
      <c r="V19" s="704"/>
      <c r="W19" s="705"/>
      <c r="X19" s="1354"/>
      <c r="Y19" s="3705"/>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9"/>
      <c r="M21" s="2713"/>
      <c r="N21" s="2713"/>
      <c r="O21" s="2771"/>
      <c r="P21" s="3705"/>
      <c r="Q21" s="1351"/>
      <c r="R21" s="704"/>
      <c r="S21" s="705"/>
      <c r="T21" s="704"/>
      <c r="U21" s="705"/>
      <c r="V21" s="704"/>
      <c r="W21" s="705"/>
      <c r="X21" s="1354"/>
      <c r="Y21" s="3705"/>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05"/>
      <c r="Q24" s="1351">
        <f t="shared" ref="Q24:Q34"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4"/>
      <c r="M25" s="2715"/>
      <c r="N25" s="2715"/>
      <c r="O25" s="2769"/>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19"/>
      <c r="M26" s="2713"/>
      <c r="N26" s="2713"/>
      <c r="O26" s="2771"/>
      <c r="P26" s="380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9"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09"/>
      <c r="Q27" s="706" t="str">
        <f t="shared" si="11"/>
        <v>成新率</v>
      </c>
      <c r="R27" s="707" t="s">
        <v>14</v>
      </c>
      <c r="S27" s="708" t="e">
        <f t="shared" si="12"/>
        <v>#N/A</v>
      </c>
      <c r="T27" s="707" t="s">
        <v>14</v>
      </c>
      <c r="U27" s="708" t="e">
        <f t="shared" si="13"/>
        <v>#N/A</v>
      </c>
      <c r="V27" s="707" t="s">
        <v>14</v>
      </c>
      <c r="W27" s="708" t="e">
        <f t="shared" si="14"/>
        <v>#N/A</v>
      </c>
      <c r="X27" s="709"/>
      <c r="Y27" s="3709"/>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09"/>
      <c r="Q28" s="1351" t="str">
        <f t="shared" si="11"/>
        <v>物业等级</v>
      </c>
      <c r="R28" s="704" t="s">
        <v>14</v>
      </c>
      <c r="S28" s="705">
        <f t="shared" si="12"/>
        <v>100</v>
      </c>
      <c r="T28" s="704" t="s">
        <v>14</v>
      </c>
      <c r="U28" s="705">
        <f t="shared" si="13"/>
        <v>100</v>
      </c>
      <c r="V28" s="704" t="s">
        <v>14</v>
      </c>
      <c r="W28" s="705">
        <f t="shared" si="14"/>
        <v>100</v>
      </c>
      <c r="X28" s="1354"/>
      <c r="Y28" s="3709"/>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09"/>
      <c r="Q29" s="1351" t="str">
        <f t="shared" si="11"/>
        <v>有无电梯</v>
      </c>
      <c r="R29" s="704" t="s">
        <v>14</v>
      </c>
      <c r="S29" s="705">
        <f t="shared" si="12"/>
        <v>100</v>
      </c>
      <c r="T29" s="704" t="s">
        <v>14</v>
      </c>
      <c r="U29" s="705">
        <f t="shared" si="13"/>
        <v>100</v>
      </c>
      <c r="V29" s="704" t="s">
        <v>14</v>
      </c>
      <c r="W29" s="705">
        <f t="shared" si="14"/>
        <v>100</v>
      </c>
      <c r="X29" s="1354"/>
      <c r="Y29" s="3709"/>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09"/>
      <c r="Q30" s="1351" t="str">
        <f t="shared" si="11"/>
        <v>建筑面积</v>
      </c>
      <c r="R30" s="704" t="s">
        <v>14</v>
      </c>
      <c r="S30" s="705" t="e">
        <f t="shared" si="12"/>
        <v>#N/A</v>
      </c>
      <c r="T30" s="704" t="s">
        <v>14</v>
      </c>
      <c r="U30" s="705" t="e">
        <f t="shared" si="13"/>
        <v>#N/A</v>
      </c>
      <c r="V30" s="704" t="s">
        <v>14</v>
      </c>
      <c r="W30" s="705" t="e">
        <f t="shared" si="14"/>
        <v>#N/A</v>
      </c>
      <c r="X30" s="1354"/>
      <c r="Y30" s="3709"/>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09"/>
      <c r="Q31" s="1342" t="str">
        <f t="shared" si="11"/>
        <v>是否封闭</v>
      </c>
      <c r="R31" s="700" t="s">
        <v>14</v>
      </c>
      <c r="S31" s="701">
        <f t="shared" si="12"/>
        <v>100</v>
      </c>
      <c r="T31" s="700" t="s">
        <v>14</v>
      </c>
      <c r="U31" s="701">
        <f t="shared" si="13"/>
        <v>100</v>
      </c>
      <c r="V31" s="700" t="s">
        <v>14</v>
      </c>
      <c r="W31" s="701">
        <f t="shared" si="14"/>
        <v>100</v>
      </c>
      <c r="X31" s="702"/>
      <c r="Y31" s="370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09" t="s">
        <v>1696</v>
      </c>
      <c r="Q32" s="1351">
        <f t="shared" si="11"/>
        <v>111</v>
      </c>
      <c r="R32" s="704" t="s">
        <v>14</v>
      </c>
      <c r="S32" s="705">
        <f t="shared" si="12"/>
        <v>100</v>
      </c>
      <c r="T32" s="704" t="s">
        <v>14</v>
      </c>
      <c r="U32" s="705">
        <f t="shared" si="13"/>
        <v>100</v>
      </c>
      <c r="V32" s="704" t="s">
        <v>14</v>
      </c>
      <c r="W32" s="705">
        <f t="shared" si="14"/>
        <v>100</v>
      </c>
      <c r="X32" s="1354"/>
      <c r="Y32" s="3709"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09"/>
      <c r="Q33" s="1351">
        <f t="shared" si="11"/>
        <v>111</v>
      </c>
      <c r="R33" s="704" t="s">
        <v>14</v>
      </c>
      <c r="S33" s="705">
        <f t="shared" si="12"/>
        <v>100</v>
      </c>
      <c r="T33" s="704" t="s">
        <v>14</v>
      </c>
      <c r="U33" s="705">
        <f t="shared" si="13"/>
        <v>100</v>
      </c>
      <c r="V33" s="704" t="s">
        <v>14</v>
      </c>
      <c r="W33" s="705">
        <f t="shared" si="14"/>
        <v>100</v>
      </c>
      <c r="X33" s="1354"/>
      <c r="Y33" s="370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9"/>
      <c r="M34" s="2713"/>
      <c r="N34" s="2713"/>
      <c r="O34" s="2771"/>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1"/>
      <c r="M35" s="2722"/>
      <c r="N35" s="2713"/>
      <c r="O35" s="2722"/>
      <c r="P35" s="3697" t="str">
        <f>A35</f>
        <v>成交单价（元/平方米）</v>
      </c>
      <c r="Q35" s="3697"/>
      <c r="R35" s="3698">
        <f>E35</f>
        <v>0</v>
      </c>
      <c r="S35" s="3698"/>
      <c r="T35" s="3698">
        <f>G35</f>
        <v>0</v>
      </c>
      <c r="U35" s="3698"/>
      <c r="V35" s="3698">
        <f>I35</f>
        <v>0</v>
      </c>
      <c r="W35" s="3698"/>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1"/>
      <c r="M37" s="2722"/>
      <c r="N37" s="2722"/>
      <c r="O37" s="2722"/>
      <c r="P37" s="3699" t="str">
        <f>A37</f>
        <v>估价对象XX用房的比较价值（楼面单价，元/平方米）</v>
      </c>
      <c r="Q37" s="3700"/>
      <c r="R37" s="3808" t="e">
        <f>IF(F1="售价",ROUND(IF(D36="简单平均",AVERAGE(R36:W36),R36*F36+T36*H36+V36*J36),0),ROUND(IF(D36="简单平均",AVERAGE(R36:V36),R36*F36+T36*H36+V36*J36),1))</f>
        <v>#DIV/0!</v>
      </c>
      <c r="S37" s="3808"/>
      <c r="T37" s="3808"/>
      <c r="U37" s="3808"/>
      <c r="V37" s="3808"/>
      <c r="W37" s="380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3"/>
      <c r="Q46" s="2738"/>
      <c r="R46" s="2738"/>
      <c r="S46" s="2738"/>
      <c r="T46" s="2738"/>
      <c r="U46" s="2738"/>
      <c r="V46" s="2738"/>
      <c r="W46" s="2738"/>
      <c r="X46" s="2738"/>
      <c r="Y46" s="2738"/>
      <c r="Z46" s="2738"/>
      <c r="AA46" s="2738"/>
      <c r="AB46" s="2738"/>
      <c r="AC46" s="2738"/>
      <c r="AD46" s="2738"/>
    </row>
    <row r="47" spans="1:30" s="107" customFormat="1" ht="15">
      <c r="A47" s="457"/>
      <c r="B47" s="458"/>
      <c r="C47" s="1182">
        <v>100</v>
      </c>
      <c r="D47" s="460"/>
      <c r="E47" s="460"/>
      <c r="F47" s="460"/>
      <c r="G47" s="460"/>
      <c r="H47" s="460"/>
      <c r="I47" s="460"/>
      <c r="J47" s="460"/>
      <c r="K47" s="460"/>
      <c r="L47" s="460"/>
      <c r="M47" s="461"/>
      <c r="N47" s="460"/>
      <c r="O47" s="462"/>
      <c r="P47" s="2736"/>
      <c r="Q47" s="2659"/>
      <c r="R47" s="2659"/>
      <c r="S47" s="2659"/>
      <c r="T47" s="2659"/>
      <c r="U47" s="2659"/>
      <c r="V47" s="2659"/>
      <c r="W47" s="2659"/>
      <c r="X47" s="2659"/>
      <c r="Y47" s="2659"/>
      <c r="Z47" s="2659"/>
      <c r="AA47" s="2659"/>
      <c r="AB47" s="2659"/>
      <c r="AC47" s="2659"/>
      <c r="AD47" s="2659"/>
    </row>
    <row r="48" spans="1:30" s="107" customFormat="1" ht="15.75" thickBot="1">
      <c r="A48" s="463" t="s">
        <v>1716</v>
      </c>
      <c r="B48" s="464"/>
      <c r="C48" s="465"/>
      <c r="D48" s="466"/>
      <c r="E48" s="466"/>
      <c r="F48" s="466"/>
      <c r="G48" s="466"/>
      <c r="H48" s="466"/>
      <c r="I48" s="466"/>
      <c r="J48" s="466"/>
      <c r="K48" s="466"/>
      <c r="L48" s="466"/>
      <c r="M48" s="467"/>
      <c r="N48" s="466"/>
      <c r="O48" s="468"/>
      <c r="P48" s="2736"/>
      <c r="Q48" s="2736"/>
      <c r="R48" s="2659"/>
      <c r="S48" s="2659"/>
      <c r="T48" s="2659"/>
      <c r="U48" s="2659"/>
      <c r="V48" s="2659"/>
      <c r="W48" s="2659"/>
      <c r="X48" s="2659"/>
      <c r="Y48" s="2659"/>
      <c r="Z48" s="2659"/>
      <c r="AA48" s="2659"/>
      <c r="AB48" s="2659"/>
      <c r="AC48" s="2659"/>
      <c r="AD48" s="2659"/>
    </row>
    <row r="49" spans="1:30" s="107" customFormat="1" ht="15">
      <c r="A49" s="469" t="s">
        <v>1681</v>
      </c>
      <c r="B49" s="458"/>
      <c r="C49" s="470" t="s">
        <v>1776</v>
      </c>
      <c r="D49" s="471"/>
      <c r="E49" s="471"/>
      <c r="F49" s="471"/>
      <c r="G49" s="471"/>
      <c r="H49" s="471"/>
      <c r="I49" s="471"/>
      <c r="J49" s="471"/>
      <c r="K49" s="471"/>
      <c r="L49" s="472"/>
      <c r="M49" s="473"/>
      <c r="N49" s="2749"/>
      <c r="O49" s="2749"/>
      <c r="P49" s="2774"/>
      <c r="Q49" s="2736"/>
      <c r="R49" s="2659"/>
      <c r="S49" s="2659"/>
      <c r="T49" s="2659"/>
      <c r="U49" s="2659"/>
      <c r="V49" s="2659"/>
      <c r="W49" s="2659"/>
      <c r="X49" s="2659"/>
      <c r="Y49" s="2659"/>
      <c r="Z49" s="2659"/>
      <c r="AA49" s="2659"/>
      <c r="AB49" s="2659"/>
      <c r="AC49" s="2659"/>
      <c r="AD49" s="2659"/>
    </row>
    <row r="50" spans="1:30" s="107" customFormat="1" ht="15.75" thickBot="1">
      <c r="A50" s="469"/>
      <c r="B50" s="458"/>
      <c r="C50" s="586">
        <v>100</v>
      </c>
      <c r="D50" s="460"/>
      <c r="E50" s="460"/>
      <c r="F50" s="460"/>
      <c r="G50" s="460"/>
      <c r="H50" s="460"/>
      <c r="I50" s="460"/>
      <c r="J50" s="460"/>
      <c r="K50" s="460"/>
      <c r="L50" s="460"/>
      <c r="M50" s="462"/>
      <c r="N50" s="2749"/>
      <c r="O50" s="2749"/>
      <c r="P50" s="2736"/>
      <c r="Q50" s="2736"/>
      <c r="R50" s="2659"/>
      <c r="S50" s="2659"/>
      <c r="T50" s="2659"/>
      <c r="U50" s="2659"/>
      <c r="V50" s="2659"/>
      <c r="W50" s="2659"/>
      <c r="X50" s="2659"/>
      <c r="Y50" s="2659"/>
      <c r="Z50" s="2659"/>
      <c r="AA50" s="2659"/>
      <c r="AB50" s="2659"/>
      <c r="AC50" s="2659"/>
      <c r="AD50" s="2659"/>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7"/>
      <c r="B71" s="486">
        <f>B23</f>
        <v>111</v>
      </c>
      <c r="C71" s="497"/>
      <c r="D71" s="497"/>
      <c r="E71" s="497"/>
      <c r="F71" s="497"/>
      <c r="G71" s="502"/>
      <c r="H71" s="502"/>
      <c r="I71" s="502"/>
      <c r="J71" s="502"/>
      <c r="K71" s="502"/>
      <c r="L71" s="528"/>
      <c r="M71" s="529"/>
      <c r="N71" s="2749"/>
      <c r="O71" s="2749"/>
      <c r="P71" s="2775"/>
      <c r="Q71" s="2736"/>
      <c r="R71" s="2659"/>
      <c r="S71" s="2659"/>
      <c r="T71" s="2659"/>
      <c r="U71" s="2659"/>
      <c r="V71" s="2659"/>
      <c r="W71" s="2659"/>
      <c r="X71" s="2659"/>
      <c r="Y71" s="2659"/>
      <c r="Z71" s="2659"/>
      <c r="AA71" s="2659"/>
      <c r="AB71" s="2659"/>
      <c r="AC71" s="2659"/>
      <c r="AD71" s="2659"/>
    </row>
    <row r="72" spans="1:30" s="107" customFormat="1" ht="15.75" thickBot="1">
      <c r="A72" s="527"/>
      <c r="B72" s="491"/>
      <c r="C72" s="508"/>
      <c r="D72" s="484"/>
      <c r="E72" s="484"/>
      <c r="F72" s="484"/>
      <c r="G72" s="484"/>
      <c r="H72" s="484"/>
      <c r="I72" s="484"/>
      <c r="J72" s="484"/>
      <c r="K72" s="484"/>
      <c r="L72" s="484"/>
      <c r="M72" s="485"/>
      <c r="N72" s="2751"/>
      <c r="O72" s="2751"/>
      <c r="P72" s="2775"/>
      <c r="Q72" s="2736"/>
      <c r="R72" s="2659"/>
      <c r="S72" s="2659"/>
      <c r="T72" s="2659"/>
      <c r="U72" s="2659"/>
      <c r="V72" s="2659"/>
      <c r="W72" s="2659"/>
      <c r="X72" s="2659"/>
      <c r="Y72" s="2659"/>
      <c r="Z72" s="2659"/>
      <c r="AA72" s="2659"/>
      <c r="AB72" s="2659"/>
      <c r="AC72" s="2659"/>
      <c r="AD72" s="2659"/>
    </row>
    <row r="73" spans="1:30" s="107" customFormat="1" ht="15.75" thickTop="1">
      <c r="A73" s="527"/>
      <c r="B73" s="486">
        <f>B24</f>
        <v>111</v>
      </c>
      <c r="C73" s="497"/>
      <c r="D73" s="497"/>
      <c r="E73" s="497"/>
      <c r="F73" s="497"/>
      <c r="G73" s="502"/>
      <c r="H73" s="502"/>
      <c r="I73" s="502"/>
      <c r="J73" s="502"/>
      <c r="K73" s="502"/>
      <c r="L73" s="502"/>
      <c r="M73" s="529"/>
      <c r="N73" s="2749"/>
      <c r="O73" s="2749"/>
      <c r="P73" s="2775"/>
      <c r="Q73" s="2736"/>
      <c r="R73" s="2659"/>
      <c r="S73" s="2659"/>
      <c r="T73" s="2659"/>
      <c r="U73" s="2659"/>
      <c r="V73" s="2659"/>
      <c r="W73" s="2659"/>
      <c r="X73" s="2659"/>
      <c r="Y73" s="2659"/>
      <c r="Z73" s="2659"/>
      <c r="AA73" s="2659"/>
      <c r="AB73" s="2659"/>
      <c r="AC73" s="2659"/>
      <c r="AD73" s="2659"/>
    </row>
    <row r="74" spans="1:30" s="107" customFormat="1" ht="15.75" thickBot="1">
      <c r="A74" s="527"/>
      <c r="B74" s="491"/>
      <c r="C74" s="508"/>
      <c r="D74" s="484"/>
      <c r="E74" s="484"/>
      <c r="F74" s="484"/>
      <c r="G74" s="484"/>
      <c r="H74" s="484"/>
      <c r="I74" s="484"/>
      <c r="J74" s="484"/>
      <c r="K74" s="484"/>
      <c r="L74" s="484"/>
      <c r="M74" s="485"/>
      <c r="N74" s="2751"/>
      <c r="O74" s="2751"/>
      <c r="P74" s="2775"/>
      <c r="Q74" s="2736"/>
      <c r="R74" s="2659"/>
      <c r="S74" s="2659"/>
      <c r="T74" s="2659"/>
      <c r="U74" s="2659"/>
      <c r="V74" s="2659"/>
      <c r="W74" s="2659"/>
      <c r="X74" s="2659"/>
      <c r="Y74" s="2659"/>
      <c r="Z74" s="2659"/>
      <c r="AA74" s="2659"/>
      <c r="AB74" s="2659"/>
      <c r="AC74" s="2659"/>
      <c r="AD74" s="2659"/>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26" t="s">
        <v>1771</v>
      </c>
      <c r="S4" s="3727"/>
      <c r="T4" s="3726" t="s">
        <v>1772</v>
      </c>
      <c r="U4" s="3727"/>
      <c r="V4" s="3711" t="s">
        <v>1773</v>
      </c>
      <c r="W4" s="3711"/>
      <c r="X4" s="1354"/>
      <c r="Y4" s="3726" t="s">
        <v>1775</v>
      </c>
      <c r="Z4" s="3727"/>
      <c r="AA4" s="3713" t="s">
        <v>1771</v>
      </c>
      <c r="AB4" s="3714" t="s">
        <v>1772</v>
      </c>
      <c r="AC4" s="3713" t="s">
        <v>1773</v>
      </c>
    </row>
    <row r="5" spans="1:30" ht="15">
      <c r="A5" s="357"/>
      <c r="B5" s="358"/>
      <c r="C5" s="3734" t="s">
        <v>1673</v>
      </c>
      <c r="D5" s="3735"/>
      <c r="E5" s="3806" t="s">
        <v>1674</v>
      </c>
      <c r="F5" s="3742"/>
      <c r="G5" s="3734" t="s">
        <v>1675</v>
      </c>
      <c r="H5" s="3735"/>
      <c r="I5" s="3734" t="s">
        <v>1676</v>
      </c>
      <c r="J5" s="3735"/>
      <c r="K5" s="558"/>
      <c r="L5" s="2712"/>
      <c r="M5" s="2713"/>
      <c r="N5" s="2713"/>
      <c r="O5" s="2713"/>
      <c r="P5" s="3722"/>
      <c r="Q5" s="3723"/>
      <c r="R5" s="3728"/>
      <c r="S5" s="3729"/>
      <c r="T5" s="3728"/>
      <c r="U5" s="3729"/>
      <c r="V5" s="3711"/>
      <c r="W5" s="3711"/>
      <c r="X5" s="1354"/>
      <c r="Y5" s="3728"/>
      <c r="Z5" s="3729"/>
      <c r="AA5" s="3714"/>
      <c r="AB5" s="3714"/>
      <c r="AC5" s="3714"/>
    </row>
    <row r="6" spans="1:30" ht="15.75" thickBot="1">
      <c r="A6" s="359"/>
      <c r="B6" s="360"/>
      <c r="C6" s="3732" t="s">
        <v>1677</v>
      </c>
      <c r="D6" s="3733"/>
      <c r="E6" s="3739" t="s">
        <v>1677</v>
      </c>
      <c r="F6" s="3740"/>
      <c r="G6" s="3732" t="s">
        <v>1677</v>
      </c>
      <c r="H6" s="3733"/>
      <c r="I6" s="3732" t="s">
        <v>1677</v>
      </c>
      <c r="J6" s="3733"/>
      <c r="K6" s="558" t="s">
        <v>1678</v>
      </c>
      <c r="L6" s="2712"/>
      <c r="M6" s="2713"/>
      <c r="N6" s="2713"/>
      <c r="O6" s="2713"/>
      <c r="P6" s="3724"/>
      <c r="Q6" s="3725"/>
      <c r="R6" s="3728"/>
      <c r="S6" s="3729"/>
      <c r="T6" s="3730"/>
      <c r="U6" s="3731"/>
      <c r="V6" s="3711"/>
      <c r="W6" s="3711"/>
      <c r="X6" s="1354"/>
      <c r="Y6" s="3730"/>
      <c r="Z6" s="3731"/>
      <c r="AA6" s="3715"/>
      <c r="AB6" s="3715"/>
      <c r="AC6" s="3715"/>
    </row>
    <row r="7" spans="1:30" s="107" customFormat="1" ht="15.75" thickBot="1">
      <c r="A7" s="361" t="s">
        <v>1679</v>
      </c>
      <c r="B7" s="362"/>
      <c r="C7" s="363">
        <f>'数据-取费表'!B2</f>
        <v>45299</v>
      </c>
      <c r="D7" s="364">
        <v>100</v>
      </c>
      <c r="E7" s="365"/>
      <c r="F7" s="366">
        <f>SUMIF(69:69,YEAR(E7)&amp;"-"&amp;INT((MONTH(E7)+2)/3),70:70)</f>
        <v>0</v>
      </c>
      <c r="G7" s="1973"/>
      <c r="H7" s="364">
        <f>SUMIF(69:69,YEAR(G7)&amp;"-"&amp;INT((MONTH(G7)+2)/3),70:70)</f>
        <v>0</v>
      </c>
      <c r="I7" s="1973"/>
      <c r="J7" s="364">
        <f>SUMIF(69:69,YEAR(I7)&amp;"-"&amp;INT((MONTH(I7)+2)/3),70:70)</f>
        <v>0</v>
      </c>
      <c r="K7" s="559"/>
      <c r="L7" s="2714"/>
      <c r="M7" s="2715"/>
      <c r="N7" s="2715"/>
      <c r="O7" s="2715"/>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736" t="s">
        <v>1683</v>
      </c>
      <c r="Q8" s="3737"/>
      <c r="R8" s="700" t="s">
        <v>14</v>
      </c>
      <c r="S8" s="701">
        <f t="shared" si="0"/>
        <v>0</v>
      </c>
      <c r="T8" s="700" t="s">
        <v>14</v>
      </c>
      <c r="U8" s="701">
        <f t="shared" si="1"/>
        <v>0</v>
      </c>
      <c r="V8" s="700" t="s">
        <v>14</v>
      </c>
      <c r="W8" s="701">
        <f t="shared" si="2"/>
        <v>0</v>
      </c>
      <c r="X8" s="702"/>
      <c r="Y8" s="3736" t="s">
        <v>1683</v>
      </c>
      <c r="Z8" s="3737"/>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4"/>
      <c r="M9" s="2715"/>
      <c r="N9" s="2715"/>
      <c r="O9" s="2769"/>
      <c r="P9" s="3697" t="s">
        <v>1686</v>
      </c>
      <c r="Q9" s="1342" t="str">
        <f t="shared" ref="Q9:Q15" si="6">B9</f>
        <v>用途</v>
      </c>
      <c r="R9" s="700" t="s">
        <v>14</v>
      </c>
      <c r="S9" s="701">
        <f t="shared" si="0"/>
        <v>100</v>
      </c>
      <c r="T9" s="700" t="s">
        <v>14</v>
      </c>
      <c r="U9" s="701">
        <f t="shared" si="1"/>
        <v>100</v>
      </c>
      <c r="V9" s="700" t="s">
        <v>14</v>
      </c>
      <c r="W9" s="701">
        <f t="shared" si="2"/>
        <v>100</v>
      </c>
      <c r="X9" s="702"/>
      <c r="Y9" s="3597"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142</v>
      </c>
      <c r="G10" s="413"/>
      <c r="H10" s="126">
        <f>ROUND(100/'数据-取费表'!G16,0)</f>
        <v>142</v>
      </c>
      <c r="I10" s="413"/>
      <c r="J10" s="126">
        <f>ROUND(100/'数据-取费表'!G16,0)</f>
        <v>142</v>
      </c>
      <c r="K10" s="619"/>
      <c r="L10" s="2716"/>
      <c r="M10" s="2717"/>
      <c r="N10" s="2717"/>
      <c r="O10" s="2770"/>
      <c r="P10" s="3697"/>
      <c r="Q10" s="1342" t="str">
        <f t="shared" si="6"/>
        <v>土地使用年限（年）</v>
      </c>
      <c r="R10" s="700" t="s">
        <v>14</v>
      </c>
      <c r="S10" s="701">
        <f t="shared" si="0"/>
        <v>142</v>
      </c>
      <c r="T10" s="700" t="s">
        <v>14</v>
      </c>
      <c r="U10" s="701">
        <f t="shared" si="1"/>
        <v>142</v>
      </c>
      <c r="V10" s="700" t="s">
        <v>14</v>
      </c>
      <c r="W10" s="701">
        <f t="shared" si="2"/>
        <v>142</v>
      </c>
      <c r="X10" s="702"/>
      <c r="Y10" s="3597"/>
      <c r="Z10" s="52" t="str">
        <f t="shared" si="7"/>
        <v>土地使用年限（年）</v>
      </c>
      <c r="AA10" s="703">
        <f t="shared" si="3"/>
        <v>0.70422535211267601</v>
      </c>
      <c r="AB10" s="703">
        <f t="shared" si="4"/>
        <v>0.70422535211267601</v>
      </c>
      <c r="AC10" s="703">
        <f t="shared" si="5"/>
        <v>0.70422535211267601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697"/>
      <c r="Q11" s="1342" t="str">
        <f t="shared" si="6"/>
        <v>容积率</v>
      </c>
      <c r="R11" s="700" t="s">
        <v>14</v>
      </c>
      <c r="S11" s="701" t="e">
        <f t="shared" si="0"/>
        <v>#N/A</v>
      </c>
      <c r="T11" s="700" t="s">
        <v>14</v>
      </c>
      <c r="U11" s="701" t="e">
        <f t="shared" si="1"/>
        <v>#N/A</v>
      </c>
      <c r="V11" s="700" t="s">
        <v>14</v>
      </c>
      <c r="W11" s="701" t="e">
        <f t="shared" si="2"/>
        <v>#N/A</v>
      </c>
      <c r="X11" s="702"/>
      <c r="Y11" s="3597"/>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697"/>
      <c r="Q12" s="1342" t="str">
        <f t="shared" si="6"/>
        <v>配建</v>
      </c>
      <c r="R12" s="700" t="s">
        <v>14</v>
      </c>
      <c r="S12" s="701">
        <f t="shared" si="0"/>
        <v>100</v>
      </c>
      <c r="T12" s="700" t="s">
        <v>14</v>
      </c>
      <c r="U12" s="701">
        <f t="shared" si="1"/>
        <v>100</v>
      </c>
      <c r="V12" s="700" t="s">
        <v>14</v>
      </c>
      <c r="W12" s="701">
        <f t="shared" si="2"/>
        <v>100</v>
      </c>
      <c r="X12" s="702"/>
      <c r="Y12" s="3597"/>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697"/>
      <c r="Q13" s="1342">
        <f t="shared" si="6"/>
        <v>111</v>
      </c>
      <c r="R13" s="700" t="s">
        <v>14</v>
      </c>
      <c r="S13" s="701">
        <f t="shared" si="0"/>
        <v>100</v>
      </c>
      <c r="T13" s="700" t="s">
        <v>14</v>
      </c>
      <c r="U13" s="701">
        <f t="shared" si="1"/>
        <v>100</v>
      </c>
      <c r="V13" s="700" t="s">
        <v>14</v>
      </c>
      <c r="W13" s="701">
        <f t="shared" si="2"/>
        <v>100</v>
      </c>
      <c r="X13" s="702"/>
      <c r="Y13" s="3597"/>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697"/>
      <c r="Q14" s="1342">
        <f t="shared" si="6"/>
        <v>111</v>
      </c>
      <c r="R14" s="700" t="s">
        <v>14</v>
      </c>
      <c r="S14" s="701">
        <f t="shared" si="0"/>
        <v>100</v>
      </c>
      <c r="T14" s="700" t="s">
        <v>14</v>
      </c>
      <c r="U14" s="701">
        <f t="shared" si="1"/>
        <v>100</v>
      </c>
      <c r="V14" s="700" t="s">
        <v>14</v>
      </c>
      <c r="W14" s="701">
        <f t="shared" si="2"/>
        <v>100</v>
      </c>
      <c r="X14" s="702"/>
      <c r="Y14" s="3597"/>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04" t="s">
        <v>1691</v>
      </c>
      <c r="Q15" s="1351" t="str">
        <f t="shared" si="6"/>
        <v>居住社区成熟度</v>
      </c>
      <c r="R15" s="704" t="s">
        <v>14</v>
      </c>
      <c r="S15" s="705">
        <f t="shared" si="0"/>
        <v>100</v>
      </c>
      <c r="T15" s="704" t="s">
        <v>14</v>
      </c>
      <c r="U15" s="705">
        <f t="shared" si="1"/>
        <v>100</v>
      </c>
      <c r="V15" s="704" t="s">
        <v>14</v>
      </c>
      <c r="W15" s="705">
        <f t="shared" si="2"/>
        <v>100</v>
      </c>
      <c r="X15" s="1354"/>
      <c r="Y15" s="3704"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9"/>
      <c r="M16" s="2713"/>
      <c r="N16" s="2713"/>
      <c r="O16" s="2771"/>
      <c r="P16" s="3705"/>
      <c r="Q16" s="1351"/>
      <c r="R16" s="704"/>
      <c r="S16" s="705"/>
      <c r="T16" s="704"/>
      <c r="U16" s="705"/>
      <c r="V16" s="704"/>
      <c r="W16" s="705"/>
      <c r="X16" s="1354"/>
      <c r="Y16" s="3705"/>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05"/>
      <c r="Q17" s="1351" t="str">
        <f>B17</f>
        <v>商业繁华度</v>
      </c>
      <c r="R17" s="704" t="s">
        <v>14</v>
      </c>
      <c r="S17" s="705">
        <f>F17</f>
        <v>100</v>
      </c>
      <c r="T17" s="704" t="s">
        <v>14</v>
      </c>
      <c r="U17" s="705">
        <f>H17</f>
        <v>100</v>
      </c>
      <c r="V17" s="704" t="s">
        <v>14</v>
      </c>
      <c r="W17" s="705">
        <f>J17</f>
        <v>100</v>
      </c>
      <c r="X17" s="1354"/>
      <c r="Y17" s="370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9"/>
      <c r="M18" s="2713"/>
      <c r="N18" s="2713"/>
      <c r="O18" s="2771"/>
      <c r="P18" s="3705"/>
      <c r="Q18" s="1351"/>
      <c r="R18" s="704"/>
      <c r="S18" s="705"/>
      <c r="T18" s="704"/>
      <c r="U18" s="705"/>
      <c r="V18" s="704"/>
      <c r="W18" s="705"/>
      <c r="X18" s="1354"/>
      <c r="Y18" s="3705"/>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705"/>
      <c r="Q19" s="1351" t="str">
        <f>B19</f>
        <v>办公集聚程度</v>
      </c>
      <c r="R19" s="704" t="s">
        <v>14</v>
      </c>
      <c r="S19" s="705">
        <f>F19</f>
        <v>100</v>
      </c>
      <c r="T19" s="704" t="s">
        <v>14</v>
      </c>
      <c r="U19" s="705">
        <f>H19</f>
        <v>100</v>
      </c>
      <c r="V19" s="704" t="s">
        <v>14</v>
      </c>
      <c r="W19" s="705">
        <f>J19</f>
        <v>100</v>
      </c>
      <c r="X19" s="1354"/>
      <c r="Y19" s="370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9"/>
      <c r="M20" s="2713"/>
      <c r="N20" s="2713"/>
      <c r="O20" s="2771"/>
      <c r="P20" s="3705"/>
      <c r="Q20" s="1351"/>
      <c r="R20" s="704"/>
      <c r="S20" s="705"/>
      <c r="T20" s="704"/>
      <c r="U20" s="705"/>
      <c r="V20" s="704"/>
      <c r="W20" s="705"/>
      <c r="X20" s="1354"/>
      <c r="Y20" s="3705"/>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705"/>
      <c r="Q21" s="1351" t="str">
        <f>B21</f>
        <v>交通便捷度</v>
      </c>
      <c r="R21" s="704" t="s">
        <v>14</v>
      </c>
      <c r="S21" s="705">
        <f>F21</f>
        <v>100</v>
      </c>
      <c r="T21" s="704" t="s">
        <v>14</v>
      </c>
      <c r="U21" s="705">
        <f>H21</f>
        <v>100</v>
      </c>
      <c r="V21" s="704" t="s">
        <v>14</v>
      </c>
      <c r="W21" s="705">
        <f>J21</f>
        <v>100</v>
      </c>
      <c r="X21" s="1354"/>
      <c r="Y21" s="370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9"/>
      <c r="M22" s="2713"/>
      <c r="N22" s="2713"/>
      <c r="O22" s="2771"/>
      <c r="P22" s="3705"/>
      <c r="Q22" s="1351"/>
      <c r="R22" s="704"/>
      <c r="S22" s="705"/>
      <c r="T22" s="704"/>
      <c r="U22" s="705"/>
      <c r="V22" s="704"/>
      <c r="W22" s="705"/>
      <c r="X22" s="1354"/>
      <c r="Y22" s="3705"/>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705"/>
      <c r="Q23" s="1351" t="str">
        <f t="shared" ref="Q23:Q37" si="8">B23</f>
        <v>区域土地利用方向</v>
      </c>
      <c r="R23" s="704" t="s">
        <v>14</v>
      </c>
      <c r="S23" s="705">
        <f>F23</f>
        <v>100</v>
      </c>
      <c r="T23" s="704" t="s">
        <v>14</v>
      </c>
      <c r="U23" s="705">
        <f>H23</f>
        <v>100</v>
      </c>
      <c r="V23" s="704" t="s">
        <v>14</v>
      </c>
      <c r="W23" s="705">
        <f>J23</f>
        <v>100</v>
      </c>
      <c r="X23" s="1354"/>
      <c r="Y23" s="370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9"/>
      <c r="M24" s="2713"/>
      <c r="N24" s="2713"/>
      <c r="O24" s="2771"/>
      <c r="P24" s="3705"/>
      <c r="Q24" s="1351"/>
      <c r="R24" s="704"/>
      <c r="S24" s="705"/>
      <c r="T24" s="704"/>
      <c r="U24" s="705"/>
      <c r="V24" s="704"/>
      <c r="W24" s="705"/>
      <c r="X24" s="1354"/>
      <c r="Y24" s="3705"/>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705"/>
      <c r="Q25" s="1351" t="str">
        <f t="shared" si="8"/>
        <v>自然及人文环境状况</v>
      </c>
      <c r="R25" s="704" t="s">
        <v>14</v>
      </c>
      <c r="S25" s="705">
        <f>F25</f>
        <v>100</v>
      </c>
      <c r="T25" s="704" t="s">
        <v>14</v>
      </c>
      <c r="U25" s="705">
        <f>H25</f>
        <v>100</v>
      </c>
      <c r="V25" s="704" t="s">
        <v>14</v>
      </c>
      <c r="W25" s="705">
        <f>J25</f>
        <v>100</v>
      </c>
      <c r="X25" s="1354"/>
      <c r="Y25" s="370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9"/>
      <c r="M26" s="2713"/>
      <c r="N26" s="2713"/>
      <c r="O26" s="2771"/>
      <c r="P26" s="3705"/>
      <c r="Q26" s="1351"/>
      <c r="R26" s="704"/>
      <c r="S26" s="705"/>
      <c r="T26" s="704"/>
      <c r="U26" s="705"/>
      <c r="V26" s="704"/>
      <c r="W26" s="705"/>
      <c r="X26" s="1354"/>
      <c r="Y26" s="3705"/>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705"/>
      <c r="Q27" s="1342" t="str">
        <f t="shared" si="8"/>
        <v>公共配套设施</v>
      </c>
      <c r="R27" s="700" t="s">
        <v>14</v>
      </c>
      <c r="S27" s="701">
        <f>F27</f>
        <v>100</v>
      </c>
      <c r="T27" s="700" t="s">
        <v>14</v>
      </c>
      <c r="U27" s="701">
        <f>H27</f>
        <v>100</v>
      </c>
      <c r="V27" s="700" t="s">
        <v>14</v>
      </c>
      <c r="W27" s="701">
        <f>J27</f>
        <v>100</v>
      </c>
      <c r="X27" s="702"/>
      <c r="Y27" s="3705"/>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4"/>
      <c r="M28" s="2715"/>
      <c r="N28" s="2715"/>
      <c r="O28" s="2769"/>
      <c r="P28" s="3705"/>
      <c r="Q28" s="1342"/>
      <c r="R28" s="700"/>
      <c r="S28" s="701"/>
      <c r="T28" s="700"/>
      <c r="U28" s="701"/>
      <c r="V28" s="700"/>
      <c r="W28" s="701"/>
      <c r="X28" s="702"/>
      <c r="Y28" s="3705"/>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705"/>
      <c r="Q29" s="1342" t="str">
        <f t="shared" ref="Q29" si="9">B29</f>
        <v>基础设施水平</v>
      </c>
      <c r="R29" s="700" t="s">
        <v>14</v>
      </c>
      <c r="S29" s="701">
        <f>F29</f>
        <v>100</v>
      </c>
      <c r="T29" s="700" t="s">
        <v>14</v>
      </c>
      <c r="U29" s="701">
        <f>H29</f>
        <v>100</v>
      </c>
      <c r="V29" s="700" t="s">
        <v>14</v>
      </c>
      <c r="W29" s="701">
        <f>J29</f>
        <v>100</v>
      </c>
      <c r="X29" s="702"/>
      <c r="Y29" s="3705"/>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4"/>
      <c r="M30" s="2715"/>
      <c r="N30" s="2715"/>
      <c r="O30" s="2769"/>
      <c r="P30" s="3705"/>
      <c r="Q30" s="1342"/>
      <c r="R30" s="700"/>
      <c r="S30" s="701"/>
      <c r="T30" s="700"/>
      <c r="U30" s="701"/>
      <c r="V30" s="700"/>
      <c r="W30" s="701"/>
      <c r="X30" s="702"/>
      <c r="Y30" s="3705"/>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0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5"/>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05"/>
      <c r="Q32" s="1351" t="str">
        <f t="shared" si="8"/>
        <v>毗邻道路的类型与等级</v>
      </c>
      <c r="R32" s="704" t="s">
        <v>14</v>
      </c>
      <c r="S32" s="705">
        <f t="shared" si="10"/>
        <v>100</v>
      </c>
      <c r="T32" s="704" t="s">
        <v>14</v>
      </c>
      <c r="U32" s="705">
        <f t="shared" si="11"/>
        <v>100</v>
      </c>
      <c r="V32" s="704" t="s">
        <v>14</v>
      </c>
      <c r="W32" s="705">
        <f t="shared" si="12"/>
        <v>100</v>
      </c>
      <c r="X32" s="1354"/>
      <c r="Y32" s="370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9"/>
      <c r="M33" s="2713"/>
      <c r="N33" s="2713"/>
      <c r="O33" s="2771"/>
      <c r="P33" s="3705"/>
      <c r="Q33" s="1351"/>
      <c r="R33" s="704"/>
      <c r="S33" s="705"/>
      <c r="T33" s="704"/>
      <c r="U33" s="705"/>
      <c r="V33" s="704"/>
      <c r="W33" s="705"/>
      <c r="X33" s="1354"/>
      <c r="Y33" s="3705"/>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05"/>
      <c r="Q34" s="1351" t="str">
        <f t="shared" si="8"/>
        <v>土地级别</v>
      </c>
      <c r="R34" s="704" t="s">
        <v>14</v>
      </c>
      <c r="S34" s="705">
        <f t="shared" si="10"/>
        <v>100</v>
      </c>
      <c r="T34" s="704" t="s">
        <v>14</v>
      </c>
      <c r="U34" s="705">
        <f t="shared" si="11"/>
        <v>100</v>
      </c>
      <c r="V34" s="704" t="s">
        <v>14</v>
      </c>
      <c r="W34" s="705">
        <f t="shared" si="12"/>
        <v>100</v>
      </c>
      <c r="X34" s="1354"/>
      <c r="Y34" s="370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05"/>
      <c r="Q35" s="1351">
        <f t="shared" si="8"/>
        <v>111</v>
      </c>
      <c r="R35" s="704" t="s">
        <v>14</v>
      </c>
      <c r="S35" s="705">
        <f t="shared" si="10"/>
        <v>100</v>
      </c>
      <c r="T35" s="704" t="s">
        <v>14</v>
      </c>
      <c r="U35" s="705">
        <f t="shared" si="11"/>
        <v>100</v>
      </c>
      <c r="V35" s="704" t="s">
        <v>14</v>
      </c>
      <c r="W35" s="705">
        <f t="shared" si="12"/>
        <v>100</v>
      </c>
      <c r="X35" s="1354"/>
      <c r="Y35" s="370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807" t="s">
        <v>1696</v>
      </c>
      <c r="Q36" s="1351">
        <f t="shared" si="8"/>
        <v>111</v>
      </c>
      <c r="R36" s="704" t="s">
        <v>14</v>
      </c>
      <c r="S36" s="705">
        <f t="shared" si="10"/>
        <v>100</v>
      </c>
      <c r="T36" s="704" t="s">
        <v>14</v>
      </c>
      <c r="U36" s="705">
        <f t="shared" si="11"/>
        <v>100</v>
      </c>
      <c r="V36" s="704" t="s">
        <v>14</v>
      </c>
      <c r="W36" s="705">
        <f t="shared" si="12"/>
        <v>100</v>
      </c>
      <c r="X36" s="1354"/>
      <c r="Y36" s="3709"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09"/>
      <c r="Q37" s="1351">
        <f t="shared" si="8"/>
        <v>111</v>
      </c>
      <c r="R37" s="707" t="s">
        <v>14</v>
      </c>
      <c r="S37" s="708">
        <f t="shared" si="10"/>
        <v>100</v>
      </c>
      <c r="T37" s="707" t="s">
        <v>14</v>
      </c>
      <c r="U37" s="708">
        <f t="shared" si="11"/>
        <v>100</v>
      </c>
      <c r="V37" s="707" t="s">
        <v>14</v>
      </c>
      <c r="W37" s="708">
        <f t="shared" si="12"/>
        <v>100</v>
      </c>
      <c r="X37" s="709"/>
      <c r="Y37" s="3709"/>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709"/>
      <c r="Q38" s="1351" t="str">
        <f>B38</f>
        <v>宗地面积</v>
      </c>
      <c r="R38" s="704" t="s">
        <v>14</v>
      </c>
      <c r="S38" s="705" t="e">
        <f t="shared" si="10"/>
        <v>#N/A</v>
      </c>
      <c r="T38" s="704" t="s">
        <v>14</v>
      </c>
      <c r="U38" s="705" t="e">
        <f t="shared" si="11"/>
        <v>#N/A</v>
      </c>
      <c r="V38" s="704" t="s">
        <v>14</v>
      </c>
      <c r="W38" s="705" t="e">
        <f t="shared" si="12"/>
        <v>#N/A</v>
      </c>
      <c r="X38" s="1354"/>
      <c r="Y38" s="3709"/>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9"/>
      <c r="M39" s="2713"/>
      <c r="N39" s="2713"/>
      <c r="O39" s="2771"/>
      <c r="P39" s="3709"/>
      <c r="Q39" s="1351" t="str">
        <f t="shared" ref="Q39:Q45" si="14">B39</f>
        <v>宗地形状</v>
      </c>
      <c r="R39" s="704" t="s">
        <v>14</v>
      </c>
      <c r="S39" s="705">
        <f t="shared" si="10"/>
        <v>100</v>
      </c>
      <c r="T39" s="704" t="s">
        <v>14</v>
      </c>
      <c r="U39" s="705">
        <f t="shared" si="11"/>
        <v>100</v>
      </c>
      <c r="V39" s="704" t="s">
        <v>14</v>
      </c>
      <c r="W39" s="705">
        <f t="shared" si="12"/>
        <v>100</v>
      </c>
      <c r="X39" s="1354"/>
      <c r="Y39" s="3709"/>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9"/>
      <c r="M40" s="2713"/>
      <c r="N40" s="2713"/>
      <c r="O40" s="2771"/>
      <c r="P40" s="3709"/>
      <c r="Q40" s="1351" t="str">
        <f t="shared" si="14"/>
        <v>临街宽度及深度</v>
      </c>
      <c r="R40" s="704" t="s">
        <v>14</v>
      </c>
      <c r="S40" s="705">
        <f t="shared" si="10"/>
        <v>100</v>
      </c>
      <c r="T40" s="704" t="s">
        <v>14</v>
      </c>
      <c r="U40" s="705">
        <f t="shared" si="11"/>
        <v>100</v>
      </c>
      <c r="V40" s="704" t="s">
        <v>14</v>
      </c>
      <c r="W40" s="705">
        <f t="shared" si="12"/>
        <v>100</v>
      </c>
      <c r="X40" s="1354"/>
      <c r="Y40" s="3709"/>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4"/>
      <c r="M41" s="2715"/>
      <c r="N41" s="2715"/>
      <c r="O41" s="2769"/>
      <c r="P41" s="3709"/>
      <c r="Q41" s="1351" t="str">
        <f t="shared" si="14"/>
        <v>宗地开发程度</v>
      </c>
      <c r="R41" s="700" t="s">
        <v>14</v>
      </c>
      <c r="S41" s="701">
        <f t="shared" si="10"/>
        <v>100</v>
      </c>
      <c r="T41" s="700" t="s">
        <v>14</v>
      </c>
      <c r="U41" s="701">
        <f t="shared" si="11"/>
        <v>100</v>
      </c>
      <c r="V41" s="700" t="s">
        <v>14</v>
      </c>
      <c r="W41" s="701">
        <f t="shared" si="12"/>
        <v>100</v>
      </c>
      <c r="X41" s="702"/>
      <c r="Y41" s="3709"/>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9"/>
      <c r="M42" s="2713"/>
      <c r="N42" s="2713"/>
      <c r="O42" s="2771"/>
      <c r="P42" s="3709" t="s">
        <v>1696</v>
      </c>
      <c r="Q42" s="1351" t="str">
        <f t="shared" si="14"/>
        <v>工程地质条件</v>
      </c>
      <c r="R42" s="704" t="s">
        <v>14</v>
      </c>
      <c r="S42" s="705">
        <f t="shared" si="10"/>
        <v>100</v>
      </c>
      <c r="T42" s="704" t="s">
        <v>14</v>
      </c>
      <c r="U42" s="705">
        <f t="shared" si="11"/>
        <v>100</v>
      </c>
      <c r="V42" s="704" t="s">
        <v>14</v>
      </c>
      <c r="W42" s="705">
        <f t="shared" si="12"/>
        <v>100</v>
      </c>
      <c r="X42" s="1354"/>
      <c r="Y42" s="3709"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09"/>
      <c r="Q43" s="1351">
        <f t="shared" si="14"/>
        <v>111</v>
      </c>
      <c r="R43" s="704" t="s">
        <v>14</v>
      </c>
      <c r="S43" s="705">
        <f t="shared" si="10"/>
        <v>100</v>
      </c>
      <c r="T43" s="704" t="s">
        <v>14</v>
      </c>
      <c r="U43" s="705">
        <f t="shared" si="11"/>
        <v>100</v>
      </c>
      <c r="V43" s="704" t="s">
        <v>14</v>
      </c>
      <c r="W43" s="705">
        <f t="shared" si="12"/>
        <v>100</v>
      </c>
      <c r="X43" s="1354"/>
      <c r="Y43" s="370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09"/>
      <c r="Q44" s="1351">
        <f t="shared" si="14"/>
        <v>111</v>
      </c>
      <c r="R44" s="704" t="s">
        <v>14</v>
      </c>
      <c r="S44" s="705">
        <f t="shared" si="10"/>
        <v>100</v>
      </c>
      <c r="T44" s="704" t="s">
        <v>14</v>
      </c>
      <c r="U44" s="705">
        <f t="shared" si="11"/>
        <v>100</v>
      </c>
      <c r="V44" s="704" t="s">
        <v>14</v>
      </c>
      <c r="W44" s="705">
        <f t="shared" si="12"/>
        <v>100</v>
      </c>
      <c r="X44" s="1354"/>
      <c r="Y44" s="370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09"/>
      <c r="Q45" s="1351">
        <f t="shared" si="14"/>
        <v>111</v>
      </c>
      <c r="R45" s="707" t="s">
        <v>14</v>
      </c>
      <c r="S45" s="708">
        <f t="shared" si="10"/>
        <v>100</v>
      </c>
      <c r="T45" s="707" t="s">
        <v>14</v>
      </c>
      <c r="U45" s="708">
        <f t="shared" si="11"/>
        <v>100</v>
      </c>
      <c r="V45" s="707" t="s">
        <v>14</v>
      </c>
      <c r="W45" s="708">
        <f t="shared" si="12"/>
        <v>100</v>
      </c>
      <c r="X45" s="709"/>
      <c r="Y45" s="3709"/>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1"/>
      <c r="M46" s="2722"/>
      <c r="N46" s="2713"/>
      <c r="O46" s="2722"/>
      <c r="P46" s="3697" t="str">
        <f>A46</f>
        <v>成交单价</v>
      </c>
      <c r="Q46" s="3697"/>
      <c r="R46" s="3711">
        <f>E46</f>
        <v>0</v>
      </c>
      <c r="S46" s="3711"/>
      <c r="T46" s="3711">
        <f>G46</f>
        <v>0</v>
      </c>
      <c r="U46" s="3711"/>
      <c r="V46" s="3711">
        <f>I46</f>
        <v>0</v>
      </c>
      <c r="W46" s="3711"/>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1"/>
      <c r="M47" s="2722"/>
      <c r="N47" s="2722"/>
      <c r="O47" s="2722"/>
      <c r="P47" s="3697" t="str">
        <f>A47</f>
        <v>比较价值（元/平方米）</v>
      </c>
      <c r="Q47" s="3697"/>
      <c r="R47" s="3809" t="e">
        <f>ROUND(PRODUCT(R46,AA7:AA45),0)</f>
        <v>#DIV/0!</v>
      </c>
      <c r="S47" s="3809"/>
      <c r="T47" s="3809" t="e">
        <f>ROUND(PRODUCT(T46,AB7:AB45),0)</f>
        <v>#DIV/0!</v>
      </c>
      <c r="U47" s="3809"/>
      <c r="V47" s="3809" t="e">
        <f>ROUND(PRODUCT(V46,AC7:AC45),0)</f>
        <v>#DIV/0!</v>
      </c>
      <c r="W47" s="3809"/>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1"/>
      <c r="M48" s="2722"/>
      <c r="N48" s="2722"/>
      <c r="O48" s="2722"/>
      <c r="P48" s="3699" t="str">
        <f>A48</f>
        <v>估价对象XX用房的比较价值（楼面单价，元/平方米）</v>
      </c>
      <c r="Q48" s="3700"/>
      <c r="R48" s="3810" t="e">
        <f>ROUND(IF(D47="简单平均",AVERAGE(R47:W47),R47*F47+T47*H47+V47*J47),0)</f>
        <v>#DIV/0!</v>
      </c>
      <c r="S48" s="3810"/>
      <c r="T48" s="3810"/>
      <c r="U48" s="3810"/>
      <c r="V48" s="3810"/>
      <c r="W48" s="381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2" t="s">
        <v>1883</v>
      </c>
      <c r="D55" s="1983" t="s">
        <v>1884</v>
      </c>
      <c r="E55" s="633" t="s">
        <v>1885</v>
      </c>
      <c r="F55" s="889" t="s">
        <v>1886</v>
      </c>
      <c r="G55" s="3716" t="s">
        <v>1887</v>
      </c>
      <c r="H55" s="3811"/>
      <c r="I55" s="134"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174.21</v>
      </c>
      <c r="F56" s="885" t="e">
        <f t="shared" ref="F56:F64" si="15">ROUND(B56*E56/10000,0)</f>
        <v>#DIV/0!</v>
      </c>
      <c r="G56" s="3712"/>
      <c r="H56" s="3697"/>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0.5</v>
      </c>
      <c r="D57" s="944">
        <v>0.25</v>
      </c>
      <c r="E57" s="641"/>
      <c r="F57" s="885" t="e">
        <f t="shared" si="15"/>
        <v>#DIV/0!</v>
      </c>
      <c r="G57" s="3002" t="s">
        <v>1892</v>
      </c>
      <c r="H57" s="886" t="str">
        <f>项目基本情况!B37</f>
        <v>九级</v>
      </c>
      <c r="I57" s="890">
        <f>SUMIF(修正!A57:A68,H57,修正!B57:B68)</f>
        <v>0.5</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0.2</v>
      </c>
      <c r="D58" s="944">
        <v>0.25</v>
      </c>
      <c r="E58" s="641"/>
      <c r="F58" s="885" t="e">
        <f t="shared" si="15"/>
        <v>#DIV/0!</v>
      </c>
      <c r="G58" s="3003"/>
      <c r="H58" s="886" t="str">
        <f>项目基本情况!B37</f>
        <v>九级</v>
      </c>
      <c r="I58" s="890">
        <f>SUMIF(修正!A57:A68,H58,修正!C57:C68)</f>
        <v>0.2</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0.2</v>
      </c>
      <c r="D59" s="944">
        <v>0.25</v>
      </c>
      <c r="E59" s="641"/>
      <c r="F59" s="885" t="e">
        <f t="shared" si="15"/>
        <v>#DIV/0!</v>
      </c>
      <c r="G59" s="3003"/>
      <c r="H59" s="886" t="str">
        <f>项目基本情况!B37</f>
        <v>九级</v>
      </c>
      <c r="I59" s="890">
        <f>SUMIF(修正!A57:A68,H59,修正!D57:D68)</f>
        <v>0.2</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0.2</v>
      </c>
      <c r="D60" s="944">
        <v>0.25</v>
      </c>
      <c r="E60" s="216">
        <f>'数据-汇总表'!E11</f>
        <v>0</v>
      </c>
      <c r="F60" s="885" t="e">
        <f t="shared" si="15"/>
        <v>#DIV/0!</v>
      </c>
      <c r="G60" s="1986" t="s">
        <v>1896</v>
      </c>
      <c r="H60" s="886" t="str">
        <f>项目基本情况!C37</f>
        <v>八级</v>
      </c>
      <c r="I60" s="890">
        <f>SUMIF(修正!A57:A68,H60,修正!E57:E68)</f>
        <v>0.2</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0.2</v>
      </c>
      <c r="D61" s="944">
        <v>0.25</v>
      </c>
      <c r="E61" s="216">
        <f>'数据-汇总表'!E12</f>
        <v>0</v>
      </c>
      <c r="F61" s="885" t="e">
        <f t="shared" si="15"/>
        <v>#DIV/0!</v>
      </c>
      <c r="G61" s="891" t="s">
        <v>1898</v>
      </c>
      <c r="H61" s="886" t="str">
        <f>IF(G61="商业",项目基本情况!B37,IF(G61="办公",项目基本情况!C37,IF(G61="住宅",项目基本情况!D37,项目基本情况!E37)))</f>
        <v>八级</v>
      </c>
      <c r="I61" s="890">
        <f>SUMIF(修正!A57:A68,H61,修正!F57:F68)</f>
        <v>0.2</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0.1</v>
      </c>
      <c r="D63" s="944">
        <v>0.25</v>
      </c>
      <c r="E63" s="216">
        <f>'数据-汇总表'!E14</f>
        <v>0</v>
      </c>
      <c r="F63" s="885" t="e">
        <f t="shared" si="15"/>
        <v>#DIV/0!</v>
      </c>
      <c r="G63" s="1986" t="s">
        <v>1892</v>
      </c>
      <c r="H63" s="886" t="str">
        <f>项目基本情况!B37</f>
        <v>九级</v>
      </c>
      <c r="I63" s="890">
        <f>SUMIF(修正!A57:A68,H63,修正!G57:G68)</f>
        <v>0.1</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0.1</v>
      </c>
      <c r="D64" s="944">
        <v>0.25</v>
      </c>
      <c r="E64" s="216">
        <f>'数据-汇总表'!E15</f>
        <v>0</v>
      </c>
      <c r="F64" s="885" t="e">
        <f t="shared" si="15"/>
        <v>#DIV/0!</v>
      </c>
      <c r="G64" s="1987" t="s">
        <v>1896</v>
      </c>
      <c r="H64" s="896" t="str">
        <f>项目基本情况!C37</f>
        <v>八级</v>
      </c>
      <c r="I64" s="892">
        <f>SUMIF(修正!A57:A68,H64,修正!G57:G68)</f>
        <v>0.1</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174.21</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6"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3"/>
      <c r="Q69" s="2738"/>
      <c r="R69" s="2738"/>
      <c r="S69" s="2738"/>
      <c r="T69" s="2738"/>
      <c r="U69" s="2738"/>
      <c r="V69" s="2738"/>
      <c r="W69" s="2738"/>
      <c r="X69" s="2738"/>
      <c r="Y69" s="2738"/>
      <c r="Z69" s="2738"/>
      <c r="AA69" s="2738"/>
      <c r="AB69" s="2738"/>
      <c r="AC69" s="2738"/>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6"/>
      <c r="Q70" s="2659"/>
      <c r="R70" s="2659"/>
      <c r="S70" s="2659"/>
      <c r="T70" s="2659"/>
      <c r="U70" s="2659"/>
      <c r="V70" s="2659"/>
      <c r="W70" s="2659"/>
      <c r="X70" s="2659"/>
      <c r="Y70" s="2659"/>
      <c r="Z70" s="2659"/>
      <c r="AA70" s="2659"/>
      <c r="AB70" s="2659"/>
      <c r="AC70" s="2659"/>
    </row>
    <row r="71" spans="1:29" s="107" customFormat="1" ht="15.75" thickBot="1">
      <c r="A71" s="463" t="s">
        <v>1716</v>
      </c>
      <c r="B71" s="464"/>
      <c r="C71" s="465"/>
      <c r="D71" s="466"/>
      <c r="E71" s="466"/>
      <c r="F71" s="466"/>
      <c r="G71" s="466"/>
      <c r="H71" s="466"/>
      <c r="I71" s="466"/>
      <c r="J71" s="466"/>
      <c r="K71" s="466"/>
      <c r="L71" s="466"/>
      <c r="M71" s="467"/>
      <c r="N71" s="466"/>
      <c r="O71" s="942"/>
      <c r="P71" s="2736"/>
      <c r="Q71" s="2736"/>
      <c r="R71" s="2659"/>
      <c r="S71" s="2659"/>
      <c r="T71" s="2659"/>
      <c r="U71" s="2659"/>
      <c r="V71" s="2659"/>
      <c r="W71" s="2659"/>
      <c r="X71" s="2659"/>
      <c r="Y71" s="2659"/>
      <c r="Z71" s="2659"/>
      <c r="AA71" s="2659"/>
      <c r="AB71" s="2659"/>
      <c r="AC71" s="2659"/>
    </row>
    <row r="72" spans="1:29" s="107" customFormat="1" ht="15">
      <c r="A72" s="469" t="s">
        <v>1681</v>
      </c>
      <c r="B72" s="458"/>
      <c r="C72" s="470" t="s">
        <v>1776</v>
      </c>
      <c r="D72" s="471"/>
      <c r="E72" s="471"/>
      <c r="F72" s="471"/>
      <c r="G72" s="471"/>
      <c r="H72" s="471"/>
      <c r="I72" s="471"/>
      <c r="J72" s="471"/>
      <c r="K72" s="471"/>
      <c r="L72" s="472"/>
      <c r="M72" s="473"/>
      <c r="N72" s="2749"/>
      <c r="O72" s="2749"/>
      <c r="P72" s="2774"/>
      <c r="Q72" s="2736"/>
      <c r="R72" s="2659"/>
      <c r="S72" s="2659"/>
      <c r="T72" s="2659"/>
      <c r="U72" s="2659"/>
      <c r="V72" s="2659"/>
      <c r="W72" s="2659"/>
      <c r="X72" s="2659"/>
      <c r="Y72" s="2659"/>
      <c r="Z72" s="2659"/>
      <c r="AA72" s="2659"/>
      <c r="AB72" s="2659"/>
      <c r="AC72" s="2659"/>
    </row>
    <row r="73" spans="1:29" s="107" customFormat="1" ht="15.75" thickBot="1">
      <c r="A73" s="469"/>
      <c r="B73" s="458"/>
      <c r="C73" s="586">
        <v>100</v>
      </c>
      <c r="D73" s="460"/>
      <c r="E73" s="460"/>
      <c r="F73" s="460"/>
      <c r="G73" s="460"/>
      <c r="H73" s="460"/>
      <c r="I73" s="460"/>
      <c r="J73" s="460"/>
      <c r="K73" s="460"/>
      <c r="L73" s="460"/>
      <c r="M73" s="462"/>
      <c r="N73" s="2749"/>
      <c r="O73" s="2749"/>
      <c r="P73" s="2736"/>
      <c r="Q73" s="2736"/>
      <c r="R73" s="2659"/>
      <c r="S73" s="2659"/>
      <c r="T73" s="2659"/>
      <c r="U73" s="2659"/>
      <c r="V73" s="2659"/>
      <c r="W73" s="2659"/>
      <c r="X73" s="2659"/>
      <c r="Y73" s="2659"/>
      <c r="Z73" s="2659"/>
      <c r="AA73" s="2659"/>
      <c r="AB73" s="2659"/>
      <c r="AC73" s="2659"/>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9"/>
      <c r="S95" s="2659"/>
      <c r="T95" s="2659"/>
      <c r="U95" s="2659"/>
      <c r="V95" s="2659"/>
      <c r="W95" s="2659"/>
      <c r="X95" s="2659"/>
      <c r="Y95" s="2659"/>
      <c r="Z95" s="2659"/>
      <c r="AA95" s="2659"/>
      <c r="AB95" s="2659"/>
      <c r="AC95" s="2659"/>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9"/>
      <c r="S96" s="2659"/>
      <c r="T96" s="2659"/>
      <c r="U96" s="2659"/>
      <c r="V96" s="2659"/>
      <c r="W96" s="2659"/>
      <c r="X96" s="2659"/>
      <c r="Y96" s="2659"/>
      <c r="Z96" s="2659"/>
      <c r="AA96" s="2659"/>
      <c r="AB96" s="2659"/>
      <c r="AC96" s="2659"/>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9"/>
      <c r="S97" s="2659"/>
      <c r="T97" s="2659"/>
      <c r="U97" s="2659"/>
      <c r="V97" s="2659"/>
      <c r="W97" s="2659"/>
      <c r="X97" s="2659"/>
      <c r="Y97" s="2659"/>
      <c r="Z97" s="2659"/>
      <c r="AA97" s="2659"/>
      <c r="AB97" s="2659"/>
      <c r="AC97" s="2659"/>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9"/>
      <c r="S98" s="2659"/>
      <c r="T98" s="2659"/>
      <c r="U98" s="2659"/>
      <c r="V98" s="2659"/>
      <c r="W98" s="2659"/>
      <c r="X98" s="2659"/>
      <c r="Y98" s="2659"/>
      <c r="Z98" s="2659"/>
      <c r="AA98" s="2659"/>
      <c r="AB98" s="2659"/>
      <c r="AC98" s="2659"/>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2"/>
      <c r="M4" s="2713"/>
      <c r="N4" s="2713"/>
      <c r="O4" s="2713"/>
      <c r="P4" s="3720" t="s">
        <v>1775</v>
      </c>
      <c r="Q4" s="3721"/>
      <c r="R4" s="3726" t="s">
        <v>1771</v>
      </c>
      <c r="S4" s="3727"/>
      <c r="T4" s="3726" t="s">
        <v>1772</v>
      </c>
      <c r="U4" s="3727"/>
      <c r="V4" s="3711" t="s">
        <v>1773</v>
      </c>
      <c r="W4" s="3711"/>
      <c r="X4" s="1354"/>
      <c r="Y4" s="3726" t="s">
        <v>1775</v>
      </c>
      <c r="Z4" s="3727"/>
      <c r="AA4" s="3713" t="s">
        <v>1771</v>
      </c>
      <c r="AB4" s="3714" t="s">
        <v>1772</v>
      </c>
      <c r="AC4" s="3713" t="s">
        <v>1773</v>
      </c>
    </row>
    <row r="5" spans="1:29" ht="15">
      <c r="A5" s="357"/>
      <c r="B5" s="358"/>
      <c r="C5" s="3734" t="s">
        <v>1673</v>
      </c>
      <c r="D5" s="3735"/>
      <c r="E5" s="3806" t="s">
        <v>1674</v>
      </c>
      <c r="F5" s="3742"/>
      <c r="G5" s="3734" t="s">
        <v>1675</v>
      </c>
      <c r="H5" s="3735"/>
      <c r="I5" s="3734" t="s">
        <v>1676</v>
      </c>
      <c r="J5" s="3735"/>
      <c r="K5" s="558"/>
      <c r="L5" s="2712"/>
      <c r="M5" s="2713"/>
      <c r="N5" s="2713"/>
      <c r="O5" s="2713"/>
      <c r="P5" s="3722"/>
      <c r="Q5" s="3723"/>
      <c r="R5" s="3728"/>
      <c r="S5" s="3729"/>
      <c r="T5" s="3728"/>
      <c r="U5" s="3729"/>
      <c r="V5" s="3711"/>
      <c r="W5" s="3711"/>
      <c r="X5" s="1354"/>
      <c r="Y5" s="3728"/>
      <c r="Z5" s="3729"/>
      <c r="AA5" s="3714"/>
      <c r="AB5" s="3714"/>
      <c r="AC5" s="3714"/>
    </row>
    <row r="6" spans="1:29" ht="15.75" thickBot="1">
      <c r="A6" s="359"/>
      <c r="B6" s="360"/>
      <c r="C6" s="3812" t="s">
        <v>1919</v>
      </c>
      <c r="D6" s="3813"/>
      <c r="E6" s="3814" t="s">
        <v>1919</v>
      </c>
      <c r="F6" s="3815"/>
      <c r="G6" s="3812" t="s">
        <v>1919</v>
      </c>
      <c r="H6" s="3813"/>
      <c r="I6" s="3812" t="s">
        <v>1919</v>
      </c>
      <c r="J6" s="3813"/>
      <c r="K6" s="558" t="s">
        <v>1678</v>
      </c>
      <c r="L6" s="2712"/>
      <c r="M6" s="2713"/>
      <c r="N6" s="2713"/>
      <c r="O6" s="2713"/>
      <c r="P6" s="3724"/>
      <c r="Q6" s="3725"/>
      <c r="R6" s="3728"/>
      <c r="S6" s="3729"/>
      <c r="T6" s="3730"/>
      <c r="U6" s="3731"/>
      <c r="V6" s="3711"/>
      <c r="W6" s="3711"/>
      <c r="X6" s="1354"/>
      <c r="Y6" s="3730"/>
      <c r="Z6" s="3731"/>
      <c r="AA6" s="3715"/>
      <c r="AB6" s="3715"/>
      <c r="AC6" s="3715"/>
    </row>
    <row r="7" spans="1:29" s="107" customFormat="1" ht="15.75" thickBot="1">
      <c r="A7" s="361" t="s">
        <v>1679</v>
      </c>
      <c r="B7" s="362"/>
      <c r="C7" s="363">
        <f>'数据-取费表'!B2</f>
        <v>45299</v>
      </c>
      <c r="D7" s="364">
        <v>100</v>
      </c>
      <c r="E7" s="365"/>
      <c r="F7" s="366">
        <f>SUMIF(65:65,YEAR(E7)&amp;"-"&amp;INT((MONTH(E7)+2)/3),66:66)</f>
        <v>0</v>
      </c>
      <c r="G7" s="1973"/>
      <c r="H7" s="364">
        <f>SUMIF(65:65,YEAR(G7)&amp;"-"&amp;INT((MONTH(G7)+2)/3),66:66)</f>
        <v>0</v>
      </c>
      <c r="I7" s="1973"/>
      <c r="J7" s="364">
        <f>SUMIF(65:65,YEAR(I7)&amp;"-"&amp;INT((MONTH(I7)+2)/3),66:66)</f>
        <v>0</v>
      </c>
      <c r="K7" s="559"/>
      <c r="L7" s="2714"/>
      <c r="M7" s="2715"/>
      <c r="N7" s="2715"/>
      <c r="O7" s="2715"/>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36" t="s">
        <v>1683</v>
      </c>
      <c r="Q8" s="3737"/>
      <c r="R8" s="700" t="s">
        <v>14</v>
      </c>
      <c r="S8" s="701">
        <f t="shared" si="0"/>
        <v>0</v>
      </c>
      <c r="T8" s="700" t="s">
        <v>14</v>
      </c>
      <c r="U8" s="701">
        <f t="shared" si="1"/>
        <v>0</v>
      </c>
      <c r="V8" s="700" t="s">
        <v>14</v>
      </c>
      <c r="W8" s="701">
        <f t="shared" si="2"/>
        <v>0</v>
      </c>
      <c r="X8" s="702"/>
      <c r="Y8" s="3736" t="s">
        <v>1683</v>
      </c>
      <c r="Z8" s="3737"/>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4"/>
      <c r="M9" s="2715"/>
      <c r="N9" s="2715"/>
      <c r="O9" s="2769"/>
      <c r="P9" s="3697" t="s">
        <v>1686</v>
      </c>
      <c r="Q9" s="1342" t="str">
        <f t="shared" ref="Q9:Q15" si="6">B9</f>
        <v>用途</v>
      </c>
      <c r="R9" s="700" t="s">
        <v>14</v>
      </c>
      <c r="S9" s="701">
        <f t="shared" si="0"/>
        <v>100</v>
      </c>
      <c r="T9" s="700" t="s">
        <v>14</v>
      </c>
      <c r="U9" s="701">
        <f t="shared" si="1"/>
        <v>100</v>
      </c>
      <c r="V9" s="700" t="s">
        <v>14</v>
      </c>
      <c r="W9" s="701">
        <f t="shared" si="2"/>
        <v>100</v>
      </c>
      <c r="X9" s="702"/>
      <c r="Y9" s="3597"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142</v>
      </c>
      <c r="G10" s="382"/>
      <c r="H10" s="126">
        <f>ROUND(100/'数据-取费表'!G16,0)</f>
        <v>142</v>
      </c>
      <c r="I10" s="382"/>
      <c r="J10" s="126">
        <f>ROUND(100/'数据-取费表'!G16,0)</f>
        <v>142</v>
      </c>
      <c r="K10" s="619"/>
      <c r="L10" s="2716"/>
      <c r="M10" s="2717"/>
      <c r="N10" s="2717"/>
      <c r="O10" s="2770"/>
      <c r="P10" s="3697"/>
      <c r="Q10" s="1342" t="str">
        <f t="shared" si="6"/>
        <v>土地使用年限（年）</v>
      </c>
      <c r="R10" s="700" t="s">
        <v>14</v>
      </c>
      <c r="S10" s="701">
        <f t="shared" si="0"/>
        <v>142</v>
      </c>
      <c r="T10" s="700" t="s">
        <v>14</v>
      </c>
      <c r="U10" s="701">
        <f t="shared" si="1"/>
        <v>142</v>
      </c>
      <c r="V10" s="700" t="s">
        <v>14</v>
      </c>
      <c r="W10" s="701">
        <f t="shared" si="2"/>
        <v>142</v>
      </c>
      <c r="X10" s="702"/>
      <c r="Y10" s="3597"/>
      <c r="Z10" s="52" t="str">
        <f t="shared" si="7"/>
        <v>土地使用年限（年）</v>
      </c>
      <c r="AA10" s="703">
        <f t="shared" si="3"/>
        <v>0.70422535211267601</v>
      </c>
      <c r="AB10" s="703">
        <f t="shared" si="4"/>
        <v>0.70422535211267601</v>
      </c>
      <c r="AC10" s="703">
        <f t="shared" si="5"/>
        <v>0.70422535211267601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697"/>
      <c r="Q11" s="1342" t="str">
        <f t="shared" si="6"/>
        <v>容积率</v>
      </c>
      <c r="R11" s="700" t="s">
        <v>14</v>
      </c>
      <c r="S11" s="701" t="e">
        <f t="shared" si="0"/>
        <v>#N/A</v>
      </c>
      <c r="T11" s="700" t="s">
        <v>14</v>
      </c>
      <c r="U11" s="701" t="e">
        <f t="shared" si="1"/>
        <v>#N/A</v>
      </c>
      <c r="V11" s="700" t="s">
        <v>14</v>
      </c>
      <c r="W11" s="701" t="e">
        <f t="shared" si="2"/>
        <v>#N/A</v>
      </c>
      <c r="X11" s="702"/>
      <c r="Y11" s="3597"/>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697"/>
      <c r="Q12" s="1342">
        <f t="shared" si="6"/>
        <v>111</v>
      </c>
      <c r="R12" s="700" t="s">
        <v>14</v>
      </c>
      <c r="S12" s="701">
        <f t="shared" si="0"/>
        <v>100</v>
      </c>
      <c r="T12" s="700" t="s">
        <v>14</v>
      </c>
      <c r="U12" s="701">
        <f t="shared" si="1"/>
        <v>100</v>
      </c>
      <c r="V12" s="700" t="s">
        <v>14</v>
      </c>
      <c r="W12" s="701">
        <f t="shared" si="2"/>
        <v>100</v>
      </c>
      <c r="X12" s="702"/>
      <c r="Y12" s="3597"/>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697"/>
      <c r="Q13" s="1342">
        <f t="shared" si="6"/>
        <v>111</v>
      </c>
      <c r="R13" s="700" t="s">
        <v>14</v>
      </c>
      <c r="S13" s="701">
        <f t="shared" si="0"/>
        <v>100</v>
      </c>
      <c r="T13" s="700" t="s">
        <v>14</v>
      </c>
      <c r="U13" s="701">
        <f t="shared" si="1"/>
        <v>100</v>
      </c>
      <c r="V13" s="700" t="s">
        <v>14</v>
      </c>
      <c r="W13" s="701">
        <f t="shared" si="2"/>
        <v>100</v>
      </c>
      <c r="X13" s="702"/>
      <c r="Y13" s="3597"/>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697"/>
      <c r="Q14" s="1342">
        <f t="shared" si="6"/>
        <v>111</v>
      </c>
      <c r="R14" s="700" t="s">
        <v>14</v>
      </c>
      <c r="S14" s="701">
        <f t="shared" si="0"/>
        <v>100</v>
      </c>
      <c r="T14" s="700" t="s">
        <v>14</v>
      </c>
      <c r="U14" s="701">
        <f t="shared" si="1"/>
        <v>100</v>
      </c>
      <c r="V14" s="700" t="s">
        <v>14</v>
      </c>
      <c r="W14" s="701">
        <f t="shared" si="2"/>
        <v>100</v>
      </c>
      <c r="X14" s="702"/>
      <c r="Y14" s="3597"/>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04" t="s">
        <v>1691</v>
      </c>
      <c r="Q15" s="1351" t="str">
        <f t="shared" si="6"/>
        <v>产业集聚程度</v>
      </c>
      <c r="R15" s="704" t="s">
        <v>14</v>
      </c>
      <c r="S15" s="705">
        <f t="shared" si="0"/>
        <v>100</v>
      </c>
      <c r="T15" s="704" t="s">
        <v>14</v>
      </c>
      <c r="U15" s="705">
        <f t="shared" si="1"/>
        <v>100</v>
      </c>
      <c r="V15" s="704" t="s">
        <v>14</v>
      </c>
      <c r="W15" s="705">
        <f t="shared" si="2"/>
        <v>100</v>
      </c>
      <c r="X15" s="1354"/>
      <c r="Y15" s="3704"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9"/>
      <c r="M16" s="2713"/>
      <c r="N16" s="2713"/>
      <c r="O16" s="2771"/>
      <c r="P16" s="3705"/>
      <c r="Q16" s="1351"/>
      <c r="R16" s="704"/>
      <c r="S16" s="705"/>
      <c r="T16" s="704"/>
      <c r="U16" s="705"/>
      <c r="V16" s="704"/>
      <c r="W16" s="705"/>
      <c r="X16" s="1354"/>
      <c r="Y16" s="3705"/>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9"/>
      <c r="M18" s="2713"/>
      <c r="N18" s="2713"/>
      <c r="O18" s="2771"/>
      <c r="P18" s="3705"/>
      <c r="Q18" s="1351"/>
      <c r="R18" s="704"/>
      <c r="S18" s="705"/>
      <c r="T18" s="704"/>
      <c r="U18" s="705"/>
      <c r="V18" s="704"/>
      <c r="W18" s="705"/>
      <c r="X18" s="1354"/>
      <c r="Y18" s="3705"/>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05"/>
      <c r="Q19" s="1351" t="str">
        <f t="shared" ref="Q19:Q33" si="8">B19</f>
        <v>区域土地利用方向</v>
      </c>
      <c r="R19" s="704" t="s">
        <v>14</v>
      </c>
      <c r="S19" s="705">
        <f>F19</f>
        <v>100</v>
      </c>
      <c r="T19" s="704" t="s">
        <v>14</v>
      </c>
      <c r="U19" s="705">
        <f>H19</f>
        <v>100</v>
      </c>
      <c r="V19" s="704" t="s">
        <v>14</v>
      </c>
      <c r="W19" s="705">
        <f>J19</f>
        <v>100</v>
      </c>
      <c r="X19" s="1354"/>
      <c r="Y19" s="370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9"/>
      <c r="M20" s="2713"/>
      <c r="N20" s="2713"/>
      <c r="O20" s="2771"/>
      <c r="P20" s="3705"/>
      <c r="Q20" s="1351"/>
      <c r="R20" s="704"/>
      <c r="S20" s="705"/>
      <c r="T20" s="704"/>
      <c r="U20" s="705"/>
      <c r="V20" s="704"/>
      <c r="W20" s="705"/>
      <c r="X20" s="1354"/>
      <c r="Y20" s="3705"/>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05"/>
      <c r="Q21" s="1351" t="str">
        <f t="shared" si="8"/>
        <v>环境状况</v>
      </c>
      <c r="R21" s="704" t="s">
        <v>14</v>
      </c>
      <c r="S21" s="705">
        <f>F21</f>
        <v>100</v>
      </c>
      <c r="T21" s="704" t="s">
        <v>14</v>
      </c>
      <c r="U21" s="705">
        <f>H21</f>
        <v>100</v>
      </c>
      <c r="V21" s="704" t="s">
        <v>14</v>
      </c>
      <c r="W21" s="705">
        <f>J21</f>
        <v>100</v>
      </c>
      <c r="X21" s="1354"/>
      <c r="Y21" s="370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9"/>
      <c r="M22" s="2713"/>
      <c r="N22" s="2713"/>
      <c r="O22" s="2771"/>
      <c r="P22" s="3705"/>
      <c r="Q22" s="1351"/>
      <c r="R22" s="704"/>
      <c r="S22" s="705"/>
      <c r="T22" s="704"/>
      <c r="U22" s="705"/>
      <c r="V22" s="704"/>
      <c r="W22" s="705"/>
      <c r="X22" s="1354"/>
      <c r="Y22" s="3705"/>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05"/>
      <c r="Q23" s="1342" t="str">
        <f t="shared" si="8"/>
        <v>公共配套设施</v>
      </c>
      <c r="R23" s="700" t="s">
        <v>14</v>
      </c>
      <c r="S23" s="701">
        <f>F23</f>
        <v>100</v>
      </c>
      <c r="T23" s="700" t="s">
        <v>14</v>
      </c>
      <c r="U23" s="701">
        <f>H23</f>
        <v>100</v>
      </c>
      <c r="V23" s="700" t="s">
        <v>14</v>
      </c>
      <c r="W23" s="701">
        <f>J23</f>
        <v>100</v>
      </c>
      <c r="X23" s="702"/>
      <c r="Y23" s="3705"/>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4"/>
      <c r="M24" s="2715"/>
      <c r="N24" s="2715"/>
      <c r="O24" s="2769"/>
      <c r="P24" s="3705"/>
      <c r="Q24" s="1342"/>
      <c r="R24" s="700"/>
      <c r="S24" s="701"/>
      <c r="T24" s="700"/>
      <c r="U24" s="701"/>
      <c r="V24" s="700"/>
      <c r="W24" s="701"/>
      <c r="X24" s="702"/>
      <c r="Y24" s="3705"/>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05"/>
      <c r="Q25" s="1342" t="str">
        <f t="shared" ref="Q25" si="9">B25</f>
        <v>基础设施水平</v>
      </c>
      <c r="R25" s="700" t="s">
        <v>14</v>
      </c>
      <c r="S25" s="701">
        <f>F25</f>
        <v>100</v>
      </c>
      <c r="T25" s="700" t="s">
        <v>14</v>
      </c>
      <c r="U25" s="701">
        <f>H25</f>
        <v>100</v>
      </c>
      <c r="V25" s="700" t="s">
        <v>14</v>
      </c>
      <c r="W25" s="701">
        <f>J25</f>
        <v>100</v>
      </c>
      <c r="X25" s="702"/>
      <c r="Y25" s="3705"/>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4"/>
      <c r="M26" s="2715"/>
      <c r="N26" s="2715"/>
      <c r="O26" s="2769"/>
      <c r="P26" s="3705"/>
      <c r="Q26" s="1342"/>
      <c r="R26" s="700"/>
      <c r="S26" s="701"/>
      <c r="T26" s="700"/>
      <c r="U26" s="701"/>
      <c r="V26" s="700"/>
      <c r="W26" s="701"/>
      <c r="X26" s="702"/>
      <c r="Y26" s="370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0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5"/>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05"/>
      <c r="Q28" s="1351" t="str">
        <f t="shared" si="8"/>
        <v>毗邻道路的类型与等级</v>
      </c>
      <c r="R28" s="704" t="s">
        <v>14</v>
      </c>
      <c r="S28" s="705">
        <f t="shared" si="10"/>
        <v>100</v>
      </c>
      <c r="T28" s="704" t="s">
        <v>14</v>
      </c>
      <c r="U28" s="705">
        <f t="shared" si="11"/>
        <v>100</v>
      </c>
      <c r="V28" s="704" t="s">
        <v>14</v>
      </c>
      <c r="W28" s="705">
        <f t="shared" si="12"/>
        <v>100</v>
      </c>
      <c r="X28" s="1354"/>
      <c r="Y28" s="370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9"/>
      <c r="M29" s="2713"/>
      <c r="N29" s="2713"/>
      <c r="O29" s="2771"/>
      <c r="P29" s="3705"/>
      <c r="Q29" s="1351"/>
      <c r="R29" s="704"/>
      <c r="S29" s="705"/>
      <c r="T29" s="704"/>
      <c r="U29" s="705"/>
      <c r="V29" s="704"/>
      <c r="W29" s="705"/>
      <c r="X29" s="1354"/>
      <c r="Y29" s="3705"/>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05"/>
      <c r="Q30" s="1351" t="str">
        <f t="shared" si="8"/>
        <v>土地级别</v>
      </c>
      <c r="R30" s="704" t="s">
        <v>14</v>
      </c>
      <c r="S30" s="705">
        <f t="shared" si="10"/>
        <v>100</v>
      </c>
      <c r="T30" s="704" t="s">
        <v>14</v>
      </c>
      <c r="U30" s="705">
        <f t="shared" si="11"/>
        <v>100</v>
      </c>
      <c r="V30" s="704" t="s">
        <v>14</v>
      </c>
      <c r="W30" s="705">
        <f t="shared" si="12"/>
        <v>100</v>
      </c>
      <c r="X30" s="1354"/>
      <c r="Y30" s="370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05"/>
      <c r="Q31" s="1351">
        <f t="shared" si="8"/>
        <v>111</v>
      </c>
      <c r="R31" s="704" t="s">
        <v>14</v>
      </c>
      <c r="S31" s="705">
        <f t="shared" si="10"/>
        <v>100</v>
      </c>
      <c r="T31" s="704" t="s">
        <v>14</v>
      </c>
      <c r="U31" s="705">
        <f t="shared" si="11"/>
        <v>100</v>
      </c>
      <c r="V31" s="704" t="s">
        <v>14</v>
      </c>
      <c r="W31" s="705">
        <f t="shared" si="12"/>
        <v>100</v>
      </c>
      <c r="X31" s="1354"/>
      <c r="Y31" s="370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807" t="s">
        <v>1696</v>
      </c>
      <c r="Q32" s="1351">
        <f t="shared" si="8"/>
        <v>111</v>
      </c>
      <c r="R32" s="704" t="s">
        <v>14</v>
      </c>
      <c r="S32" s="705">
        <f t="shared" si="10"/>
        <v>100</v>
      </c>
      <c r="T32" s="704" t="s">
        <v>14</v>
      </c>
      <c r="U32" s="705">
        <f t="shared" si="11"/>
        <v>100</v>
      </c>
      <c r="V32" s="704" t="s">
        <v>14</v>
      </c>
      <c r="W32" s="705">
        <f t="shared" si="12"/>
        <v>100</v>
      </c>
      <c r="X32" s="1354"/>
      <c r="Y32" s="3709"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09"/>
      <c r="Q33" s="1351">
        <f t="shared" si="8"/>
        <v>111</v>
      </c>
      <c r="R33" s="707" t="s">
        <v>14</v>
      </c>
      <c r="S33" s="708">
        <f t="shared" si="10"/>
        <v>100</v>
      </c>
      <c r="T33" s="707" t="s">
        <v>14</v>
      </c>
      <c r="U33" s="708">
        <f t="shared" si="11"/>
        <v>100</v>
      </c>
      <c r="V33" s="707" t="s">
        <v>14</v>
      </c>
      <c r="W33" s="708">
        <f t="shared" si="12"/>
        <v>100</v>
      </c>
      <c r="X33" s="709"/>
      <c r="Y33" s="3709"/>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09"/>
      <c r="Q34" s="1351" t="str">
        <f>B34</f>
        <v>宗地面积</v>
      </c>
      <c r="R34" s="704" t="s">
        <v>14</v>
      </c>
      <c r="S34" s="705" t="e">
        <f t="shared" si="10"/>
        <v>#N/A</v>
      </c>
      <c r="T34" s="704" t="s">
        <v>14</v>
      </c>
      <c r="U34" s="705" t="e">
        <f t="shared" si="11"/>
        <v>#N/A</v>
      </c>
      <c r="V34" s="704" t="s">
        <v>14</v>
      </c>
      <c r="W34" s="705" t="e">
        <f t="shared" si="12"/>
        <v>#N/A</v>
      </c>
      <c r="X34" s="1354"/>
      <c r="Y34" s="3709"/>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9"/>
      <c r="M35" s="2713"/>
      <c r="N35" s="2713"/>
      <c r="O35" s="2771"/>
      <c r="P35" s="3709"/>
      <c r="Q35" s="1351" t="str">
        <f t="shared" ref="Q35:Q40" si="14">B35</f>
        <v>宗地形状</v>
      </c>
      <c r="R35" s="704" t="s">
        <v>14</v>
      </c>
      <c r="S35" s="705">
        <f t="shared" si="10"/>
        <v>100</v>
      </c>
      <c r="T35" s="704" t="s">
        <v>14</v>
      </c>
      <c r="U35" s="705">
        <f t="shared" si="11"/>
        <v>100</v>
      </c>
      <c r="V35" s="704" t="s">
        <v>14</v>
      </c>
      <c r="W35" s="705">
        <f t="shared" si="12"/>
        <v>100</v>
      </c>
      <c r="X35" s="1354"/>
      <c r="Y35" s="3709"/>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4"/>
      <c r="M36" s="2715"/>
      <c r="N36" s="2715"/>
      <c r="O36" s="2769"/>
      <c r="P36" s="3709"/>
      <c r="Q36" s="1351" t="str">
        <f t="shared" si="14"/>
        <v>宗地开发程度</v>
      </c>
      <c r="R36" s="700" t="s">
        <v>14</v>
      </c>
      <c r="S36" s="701">
        <f t="shared" si="10"/>
        <v>100</v>
      </c>
      <c r="T36" s="700" t="s">
        <v>14</v>
      </c>
      <c r="U36" s="701">
        <f t="shared" si="11"/>
        <v>100</v>
      </c>
      <c r="V36" s="700" t="s">
        <v>14</v>
      </c>
      <c r="W36" s="701">
        <f t="shared" si="12"/>
        <v>100</v>
      </c>
      <c r="X36" s="702"/>
      <c r="Y36" s="3709"/>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9"/>
      <c r="M37" s="2713"/>
      <c r="N37" s="2713"/>
      <c r="O37" s="2771"/>
      <c r="P37" s="3709" t="s">
        <v>1696</v>
      </c>
      <c r="Q37" s="1351" t="str">
        <f t="shared" si="14"/>
        <v>工程地质条件</v>
      </c>
      <c r="R37" s="704" t="s">
        <v>14</v>
      </c>
      <c r="S37" s="705">
        <f t="shared" si="10"/>
        <v>100</v>
      </c>
      <c r="T37" s="704" t="s">
        <v>14</v>
      </c>
      <c r="U37" s="705">
        <f t="shared" si="11"/>
        <v>100</v>
      </c>
      <c r="V37" s="704" t="s">
        <v>14</v>
      </c>
      <c r="W37" s="705">
        <f t="shared" si="12"/>
        <v>100</v>
      </c>
      <c r="X37" s="1354"/>
      <c r="Y37" s="3709"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09"/>
      <c r="Q38" s="1351">
        <f t="shared" si="14"/>
        <v>111</v>
      </c>
      <c r="R38" s="704" t="s">
        <v>14</v>
      </c>
      <c r="S38" s="705">
        <f t="shared" si="10"/>
        <v>100</v>
      </c>
      <c r="T38" s="704" t="s">
        <v>14</v>
      </c>
      <c r="U38" s="705">
        <f t="shared" si="11"/>
        <v>100</v>
      </c>
      <c r="V38" s="704" t="s">
        <v>14</v>
      </c>
      <c r="W38" s="705">
        <f t="shared" si="12"/>
        <v>100</v>
      </c>
      <c r="X38" s="1354"/>
      <c r="Y38" s="370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09"/>
      <c r="Q39" s="1351">
        <f t="shared" si="14"/>
        <v>111</v>
      </c>
      <c r="R39" s="704" t="s">
        <v>14</v>
      </c>
      <c r="S39" s="705">
        <f t="shared" si="10"/>
        <v>100</v>
      </c>
      <c r="T39" s="704" t="s">
        <v>14</v>
      </c>
      <c r="U39" s="705">
        <f t="shared" si="11"/>
        <v>100</v>
      </c>
      <c r="V39" s="704" t="s">
        <v>14</v>
      </c>
      <c r="W39" s="705">
        <f t="shared" si="12"/>
        <v>100</v>
      </c>
      <c r="X39" s="1354"/>
      <c r="Y39" s="370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09"/>
      <c r="Q40" s="1351">
        <f t="shared" si="14"/>
        <v>111</v>
      </c>
      <c r="R40" s="707" t="s">
        <v>14</v>
      </c>
      <c r="S40" s="708">
        <f t="shared" si="10"/>
        <v>100</v>
      </c>
      <c r="T40" s="707" t="s">
        <v>14</v>
      </c>
      <c r="U40" s="708">
        <f t="shared" si="11"/>
        <v>100</v>
      </c>
      <c r="V40" s="707" t="s">
        <v>14</v>
      </c>
      <c r="W40" s="708">
        <f t="shared" si="12"/>
        <v>100</v>
      </c>
      <c r="X40" s="709"/>
      <c r="Y40" s="3709"/>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1"/>
      <c r="M41" s="2713"/>
      <c r="N41" s="2713"/>
      <c r="O41" s="2722"/>
      <c r="P41" s="3697" t="str">
        <f>A41</f>
        <v>成交单价</v>
      </c>
      <c r="Q41" s="3697"/>
      <c r="R41" s="3711">
        <f>E41</f>
        <v>0</v>
      </c>
      <c r="S41" s="3711"/>
      <c r="T41" s="3711">
        <f>G41</f>
        <v>0</v>
      </c>
      <c r="U41" s="3711"/>
      <c r="V41" s="3711">
        <f>I41</f>
        <v>0</v>
      </c>
      <c r="W41" s="3711"/>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1"/>
      <c r="M42" s="2713"/>
      <c r="N42" s="2713"/>
      <c r="O42" s="2722"/>
      <c r="P42" s="3697" t="str">
        <f>A42</f>
        <v>比较价值（元/平方米）</v>
      </c>
      <c r="Q42" s="3697"/>
      <c r="R42" s="3809" t="e">
        <f>ROUND(PRODUCT(R41,AA7:AA40),0)</f>
        <v>#DIV/0!</v>
      </c>
      <c r="S42" s="3809"/>
      <c r="T42" s="3809" t="e">
        <f>ROUND(PRODUCT(T41,AB7:AB40),0)</f>
        <v>#DIV/0!</v>
      </c>
      <c r="U42" s="3809"/>
      <c r="V42" s="3809" t="e">
        <f>ROUND(PRODUCT(V41,AC7:AC40),0)</f>
        <v>#DIV/0!</v>
      </c>
      <c r="W42" s="3809"/>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1"/>
      <c r="M43" s="2713"/>
      <c r="N43" s="2713"/>
      <c r="O43" s="2722"/>
      <c r="P43" s="3699" t="str">
        <f>A43</f>
        <v>估价对象XX用房的比较价值（楼面单价，元/平方米）</v>
      </c>
      <c r="Q43" s="3700"/>
      <c r="R43" s="3810" t="e">
        <f>ROUND(IF(D42="简单平均",AVERAGE(R42:W42),R42*F42+T42*H42+V42*J42),0)</f>
        <v>#DIV/0!</v>
      </c>
      <c r="S43" s="3810"/>
      <c r="T43" s="3810"/>
      <c r="U43" s="3810"/>
      <c r="V43" s="3810"/>
      <c r="W43" s="381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2" t="s">
        <v>1883</v>
      </c>
      <c r="D50" s="1983" t="s">
        <v>1884</v>
      </c>
      <c r="E50" s="633" t="s">
        <v>1885</v>
      </c>
      <c r="F50" s="634" t="s">
        <v>1886</v>
      </c>
      <c r="G50" s="3716" t="s">
        <v>1887</v>
      </c>
      <c r="H50" s="3811"/>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174.21</v>
      </c>
      <c r="F51" s="638" t="e">
        <f t="shared" ref="F51:F60" si="15">ROUND(B51*E51/10000,0)</f>
        <v>#DIV/0!</v>
      </c>
      <c r="G51" s="3712"/>
      <c r="H51" s="3697"/>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0.5</v>
      </c>
      <c r="D52" s="944">
        <v>0.25</v>
      </c>
      <c r="E52" s="641"/>
      <c r="F52" s="638" t="e">
        <f t="shared" si="15"/>
        <v>#DIV/0!</v>
      </c>
      <c r="G52" s="3002" t="s">
        <v>1892</v>
      </c>
      <c r="H52" s="886" t="str">
        <f>项目基本情况!B37</f>
        <v>九级</v>
      </c>
      <c r="I52" s="772">
        <f>SUMIF(修正!A57:A68,H52,修正!B57:B68)</f>
        <v>0.5</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0.2</v>
      </c>
      <c r="D53" s="944">
        <v>0.25</v>
      </c>
      <c r="E53" s="641"/>
      <c r="F53" s="638" t="e">
        <f t="shared" si="15"/>
        <v>#DIV/0!</v>
      </c>
      <c r="G53" s="3003"/>
      <c r="H53" s="886" t="str">
        <f>项目基本情况!B37</f>
        <v>九级</v>
      </c>
      <c r="I53" s="772">
        <f>SUMIF(修正!A57:A68,H53,修正!C57:C68)</f>
        <v>0.2</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0.2</v>
      </c>
      <c r="D54" s="944">
        <v>0.25</v>
      </c>
      <c r="E54" s="641"/>
      <c r="F54" s="638" t="e">
        <f t="shared" si="15"/>
        <v>#DIV/0!</v>
      </c>
      <c r="G54" s="3003"/>
      <c r="H54" s="886" t="str">
        <f>项目基本情况!B37</f>
        <v>九级</v>
      </c>
      <c r="I54" s="772">
        <f>SUMIF(修正!A57:A68,H54,修正!D57:D68)</f>
        <v>0.2</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4"/>
      <c r="E55" s="641"/>
      <c r="F55" s="638"/>
      <c r="G55" s="3004"/>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0.2</v>
      </c>
      <c r="D56" s="944">
        <v>0.25</v>
      </c>
      <c r="E56" s="216">
        <f>'数据-汇总表'!E11</f>
        <v>0</v>
      </c>
      <c r="F56" s="638" t="e">
        <f t="shared" si="15"/>
        <v>#DIV/0!</v>
      </c>
      <c r="G56" s="1986" t="s">
        <v>1896</v>
      </c>
      <c r="H56" s="886" t="str">
        <f>项目基本情况!C37</f>
        <v>八级</v>
      </c>
      <c r="I56" s="772">
        <f>SUMIF(修正!A57:A68,H56,修正!E57:E68)</f>
        <v>0.2</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0.2</v>
      </c>
      <c r="D57" s="944">
        <v>0.25</v>
      </c>
      <c r="E57" s="216">
        <f>'数据-汇总表'!E12</f>
        <v>0</v>
      </c>
      <c r="F57" s="638" t="e">
        <f t="shared" si="15"/>
        <v>#DIV/0!</v>
      </c>
      <c r="G57" s="891" t="s">
        <v>1898</v>
      </c>
      <c r="H57" s="886" t="str">
        <f>IF(G57="商业",项目基本情况!B37,IF(G57="办公",项目基本情况!C37,IF(G57="住宅",项目基本情况!D37,项目基本情况!E37)))</f>
        <v>八级</v>
      </c>
      <c r="I57" s="772">
        <f>SUMIF(修正!A57:A68,H57,修正!F57:F68)</f>
        <v>0.2</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0.1</v>
      </c>
      <c r="D59" s="944">
        <v>0.25</v>
      </c>
      <c r="E59" s="216">
        <f>'数据-汇总表'!E14</f>
        <v>0</v>
      </c>
      <c r="F59" s="638" t="e">
        <f t="shared" si="15"/>
        <v>#DIV/0!</v>
      </c>
      <c r="G59" s="1986" t="s">
        <v>1892</v>
      </c>
      <c r="H59" s="886" t="str">
        <f>项目基本情况!B37</f>
        <v>九级</v>
      </c>
      <c r="I59" s="772">
        <f>SUMIF(修正!A57:A68,H59,修正!G57:G68)</f>
        <v>0.1</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0.1</v>
      </c>
      <c r="D60" s="944">
        <v>0.25</v>
      </c>
      <c r="E60" s="216">
        <f>'数据-汇总表'!E15</f>
        <v>0</v>
      </c>
      <c r="F60" s="638" t="e">
        <f t="shared" si="15"/>
        <v>#DIV/0!</v>
      </c>
      <c r="G60" s="1987" t="s">
        <v>1896</v>
      </c>
      <c r="H60" s="896" t="str">
        <f>项目基本情况!C37</f>
        <v>八级</v>
      </c>
      <c r="I60" s="772">
        <f>SUMIF(修正!A57:A68,H60,修正!G57:G68)</f>
        <v>0.1</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6"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6"/>
      <c r="Q66" s="2659"/>
      <c r="R66" s="2659"/>
      <c r="S66" s="2659"/>
      <c r="T66" s="2659"/>
      <c r="U66" s="2659"/>
      <c r="V66" s="2659"/>
      <c r="W66" s="2659"/>
      <c r="X66" s="2659"/>
      <c r="Y66" s="2659"/>
      <c r="Z66" s="2659"/>
      <c r="AA66" s="2659"/>
      <c r="AB66" s="2659"/>
      <c r="AC66" s="2659"/>
      <c r="AD66" s="2659"/>
      <c r="AE66" s="2659"/>
    </row>
    <row r="67" spans="1:31" s="107" customFormat="1" ht="15.75" thickBot="1">
      <c r="A67" s="463" t="s">
        <v>1716</v>
      </c>
      <c r="B67" s="464"/>
      <c r="C67" s="465"/>
      <c r="D67" s="466"/>
      <c r="E67" s="466"/>
      <c r="F67" s="466"/>
      <c r="G67" s="466"/>
      <c r="H67" s="466"/>
      <c r="I67" s="466"/>
      <c r="J67" s="466"/>
      <c r="K67" s="466"/>
      <c r="L67" s="466"/>
      <c r="M67" s="467"/>
      <c r="N67" s="467"/>
      <c r="O67" s="468"/>
      <c r="P67" s="2736"/>
      <c r="Q67" s="2736"/>
      <c r="R67" s="2659"/>
      <c r="S67" s="2659"/>
      <c r="T67" s="2659"/>
      <c r="U67" s="2659"/>
      <c r="V67" s="2659"/>
      <c r="W67" s="2659"/>
      <c r="X67" s="2659"/>
      <c r="Y67" s="2659"/>
      <c r="Z67" s="2659"/>
      <c r="AA67" s="2659"/>
      <c r="AB67" s="2659"/>
      <c r="AC67" s="2659"/>
      <c r="AD67" s="2659"/>
      <c r="AE67" s="2659"/>
    </row>
    <row r="68" spans="1:31" s="107" customFormat="1" ht="15">
      <c r="A68" s="469" t="s">
        <v>1681</v>
      </c>
      <c r="B68" s="458"/>
      <c r="C68" s="470" t="s">
        <v>1776</v>
      </c>
      <c r="D68" s="471"/>
      <c r="E68" s="471"/>
      <c r="F68" s="471"/>
      <c r="G68" s="471"/>
      <c r="H68" s="471"/>
      <c r="I68" s="471"/>
      <c r="J68" s="471"/>
      <c r="K68" s="471"/>
      <c r="L68" s="472"/>
      <c r="M68" s="473"/>
      <c r="N68" s="2749"/>
      <c r="O68" s="2749"/>
      <c r="P68" s="2774"/>
      <c r="Q68" s="2736"/>
      <c r="R68" s="2659"/>
      <c r="S68" s="2659"/>
      <c r="T68" s="2659"/>
      <c r="U68" s="2659"/>
      <c r="V68" s="2659"/>
      <c r="W68" s="2659"/>
      <c r="X68" s="2659"/>
      <c r="Y68" s="2659"/>
      <c r="Z68" s="2659"/>
      <c r="AA68" s="2659"/>
      <c r="AB68" s="2659"/>
      <c r="AC68" s="2659"/>
      <c r="AD68" s="2659"/>
      <c r="AE68" s="2659"/>
    </row>
    <row r="69" spans="1:31" s="107" customFormat="1" ht="15.75" thickBot="1">
      <c r="A69" s="469"/>
      <c r="B69" s="458"/>
      <c r="C69" s="586">
        <v>100</v>
      </c>
      <c r="D69" s="460"/>
      <c r="E69" s="460"/>
      <c r="F69" s="460"/>
      <c r="G69" s="460"/>
      <c r="H69" s="460"/>
      <c r="I69" s="460"/>
      <c r="J69" s="460"/>
      <c r="K69" s="460"/>
      <c r="L69" s="460"/>
      <c r="M69" s="462"/>
      <c r="N69" s="2749"/>
      <c r="O69" s="2749"/>
      <c r="P69" s="2736"/>
      <c r="Q69" s="2736"/>
      <c r="R69" s="2659"/>
      <c r="S69" s="2659"/>
      <c r="T69" s="2659"/>
      <c r="U69" s="2659"/>
      <c r="V69" s="2659"/>
      <c r="W69" s="2659"/>
      <c r="X69" s="2659"/>
      <c r="Y69" s="2659"/>
      <c r="Z69" s="2659"/>
      <c r="AA69" s="2659"/>
      <c r="AB69" s="2659"/>
      <c r="AC69" s="2659"/>
      <c r="AD69" s="2659"/>
      <c r="AE69" s="2659"/>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9"/>
      <c r="S88" s="2659"/>
      <c r="T88" s="2659"/>
      <c r="U88" s="2659"/>
      <c r="V88" s="2659"/>
      <c r="W88" s="2659"/>
      <c r="X88" s="2659"/>
      <c r="Y88" s="2659"/>
      <c r="Z88" s="2659"/>
      <c r="AA88" s="2659"/>
      <c r="AB88" s="2659"/>
      <c r="AC88" s="2659"/>
      <c r="AD88" s="2659"/>
      <c r="AE88" s="2659"/>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9"/>
      <c r="S89" s="2659"/>
      <c r="T89" s="2659"/>
      <c r="U89" s="2659"/>
      <c r="V89" s="2659"/>
      <c r="W89" s="2659"/>
      <c r="X89" s="2659"/>
      <c r="Y89" s="2659"/>
      <c r="Z89" s="2659"/>
      <c r="AA89" s="2659"/>
      <c r="AB89" s="2659"/>
      <c r="AC89" s="2659"/>
      <c r="AD89" s="2659"/>
      <c r="AE89" s="2659"/>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9"/>
      <c r="S90" s="2659"/>
      <c r="T90" s="2659"/>
      <c r="U90" s="2659"/>
      <c r="V90" s="2659"/>
      <c r="W90" s="2659"/>
      <c r="X90" s="2659"/>
      <c r="Y90" s="2659"/>
      <c r="Z90" s="2659"/>
      <c r="AA90" s="2659"/>
      <c r="AB90" s="2659"/>
      <c r="AC90" s="2659"/>
      <c r="AD90" s="2659"/>
      <c r="AE90" s="2659"/>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819" t="s">
        <v>2084</v>
      </c>
      <c r="D1" s="3820"/>
      <c r="E1" s="3820"/>
      <c r="F1" s="3820"/>
      <c r="G1" s="3820"/>
      <c r="H1" s="3820"/>
      <c r="I1" s="3820"/>
      <c r="J1" s="3820"/>
      <c r="K1" s="3820"/>
      <c r="L1" s="3820"/>
      <c r="M1" s="3820"/>
      <c r="N1" s="3820"/>
      <c r="O1" s="3820"/>
      <c r="P1" s="3820"/>
      <c r="Q1" s="3820"/>
      <c r="R1" s="3820"/>
      <c r="S1" s="382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816" t="s">
        <v>27</v>
      </c>
      <c r="D22" s="3817"/>
      <c r="E22" s="3817"/>
      <c r="F22" s="3817"/>
      <c r="G22" s="3817"/>
      <c r="H22" s="3817"/>
      <c r="I22" s="3817"/>
      <c r="J22" s="3817"/>
      <c r="K22" s="3817"/>
      <c r="L22" s="3817"/>
      <c r="M22" s="3817"/>
      <c r="N22" s="3817"/>
      <c r="O22" s="3817"/>
      <c r="P22" s="3817"/>
      <c r="Q22" s="381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f ca="1">SUMIF(B6:B13,"&lt;&gt;#ref!",B6:B13)</f>
        <v>103</v>
      </c>
      <c r="C2" s="2144" t="s">
        <v>2074</v>
      </c>
      <c r="D2" s="2144" t="s">
        <v>2075</v>
      </c>
      <c r="E2" s="2610">
        <f ca="1">SUMIF(E6:E13,"&lt;&gt;#ref!",E6:E13)</f>
        <v>174.21</v>
      </c>
      <c r="F2" s="2790"/>
      <c r="G2" s="2790"/>
      <c r="H2" s="2790"/>
      <c r="I2" s="2790"/>
      <c r="J2" s="2790"/>
      <c r="K2" s="2790"/>
      <c r="L2" s="2790"/>
      <c r="M2" s="2790"/>
      <c r="N2" s="2790"/>
      <c r="O2" s="2790"/>
      <c r="P2" s="2790"/>
    </row>
    <row r="3" spans="1:16" ht="15.75">
      <c r="A3" s="2144" t="s">
        <v>2076</v>
      </c>
      <c r="B3" s="2600">
        <f ca="1">ROUND(B2*10000/E2,0)</f>
        <v>5912</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103</v>
      </c>
      <c r="C6" s="2144" t="s">
        <v>2074</v>
      </c>
      <c r="D6" s="2790"/>
      <c r="E6" s="2610">
        <f ca="1">SUMIF(INDIRECT("'"&amp;A6&amp;"'"&amp;"!C:C"),"建筑面积",INDIRECT("'"&amp;A6&amp;"'"&amp;"!D:D"))</f>
        <v>174.21</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31" t="s">
        <v>2610</v>
      </c>
      <c r="B20" s="3826" t="s">
        <v>2631</v>
      </c>
      <c r="C20" s="3099" t="s">
        <v>2442</v>
      </c>
      <c r="D20" s="3100"/>
      <c r="E20" s="3101">
        <v>1</v>
      </c>
      <c r="F20" s="3102" t="s">
        <v>2443</v>
      </c>
      <c r="G20" s="3102"/>
    </row>
    <row r="21" spans="1:13" ht="19.5" customHeight="1">
      <c r="A21" s="3832"/>
      <c r="B21" s="3825"/>
      <c r="C21" s="3103" t="s">
        <v>2444</v>
      </c>
      <c r="D21" s="3104"/>
      <c r="E21" s="3105">
        <v>1</v>
      </c>
      <c r="F21" s="3102" t="s">
        <v>2445</v>
      </c>
      <c r="G21" s="3102"/>
    </row>
    <row r="22" spans="1:13" ht="19.5" customHeight="1">
      <c r="A22" s="3832"/>
      <c r="B22" s="3825"/>
      <c r="C22" s="3103" t="s">
        <v>2446</v>
      </c>
      <c r="D22" s="3104"/>
      <c r="E22" s="3105">
        <v>0.9</v>
      </c>
      <c r="F22" s="3102" t="s">
        <v>2447</v>
      </c>
      <c r="G22" s="3102"/>
    </row>
    <row r="23" spans="1:13" ht="19.5" customHeight="1">
      <c r="A23" s="3832"/>
      <c r="B23" s="3825"/>
      <c r="C23" s="3103" t="s">
        <v>2448</v>
      </c>
      <c r="D23" s="3104"/>
      <c r="E23" s="3105">
        <v>0.9</v>
      </c>
      <c r="F23" s="3102" t="s">
        <v>2449</v>
      </c>
      <c r="G23" s="3102"/>
    </row>
    <row r="24" spans="1:13" ht="19.5" customHeight="1">
      <c r="A24" s="3832"/>
      <c r="B24" s="3825"/>
      <c r="C24" s="3103" t="s">
        <v>2450</v>
      </c>
      <c r="D24" s="3104"/>
      <c r="E24" s="3105">
        <v>0.8</v>
      </c>
      <c r="F24" s="3102" t="s">
        <v>2451</v>
      </c>
      <c r="G24" s="3102"/>
    </row>
    <row r="25" spans="1:13" ht="19.5" customHeight="1" thickBot="1">
      <c r="A25" s="3833"/>
      <c r="B25" s="3827"/>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28" t="s">
        <v>2634</v>
      </c>
      <c r="B27" s="3826" t="s">
        <v>2615</v>
      </c>
      <c r="C27" s="3099" t="s">
        <v>2455</v>
      </c>
      <c r="D27" s="3100"/>
      <c r="E27" s="3101">
        <v>1</v>
      </c>
      <c r="F27" s="3102" t="s">
        <v>2456</v>
      </c>
      <c r="G27" s="3102"/>
    </row>
    <row r="28" spans="1:13" ht="19.5" customHeight="1">
      <c r="A28" s="3829"/>
      <c r="B28" s="3825"/>
      <c r="C28" s="3103" t="s">
        <v>2457</v>
      </c>
      <c r="D28" s="3104"/>
      <c r="E28" s="3105">
        <v>1</v>
      </c>
      <c r="F28" s="3102" t="s">
        <v>2458</v>
      </c>
      <c r="G28" s="3102"/>
    </row>
    <row r="29" spans="1:13" ht="19.5" customHeight="1">
      <c r="A29" s="3829"/>
      <c r="B29" s="3825"/>
      <c r="C29" s="3103" t="s">
        <v>2459</v>
      </c>
      <c r="D29" s="3104"/>
      <c r="E29" s="3105">
        <v>0.8</v>
      </c>
      <c r="F29" s="3102" t="s">
        <v>2460</v>
      </c>
      <c r="G29" s="3102"/>
    </row>
    <row r="30" spans="1:13" ht="19.5" customHeight="1">
      <c r="A30" s="3829"/>
      <c r="B30" s="3825"/>
      <c r="C30" s="3103" t="s">
        <v>2461</v>
      </c>
      <c r="D30" s="3104"/>
      <c r="E30" s="3105">
        <v>0.8</v>
      </c>
      <c r="F30" s="3102" t="s">
        <v>2462</v>
      </c>
      <c r="G30" s="3102"/>
    </row>
    <row r="31" spans="1:13" ht="19.5" customHeight="1">
      <c r="A31" s="3829"/>
      <c r="B31" s="3825"/>
      <c r="C31" s="3103" t="s">
        <v>2463</v>
      </c>
      <c r="D31" s="3104"/>
      <c r="E31" s="3105">
        <v>0.8</v>
      </c>
      <c r="F31" s="3102" t="s">
        <v>2464</v>
      </c>
      <c r="G31" s="3102"/>
    </row>
    <row r="32" spans="1:13" ht="19.5" customHeight="1">
      <c r="A32" s="3829"/>
      <c r="B32" s="3825"/>
      <c r="C32" s="3103" t="s">
        <v>2465</v>
      </c>
      <c r="D32" s="3104"/>
      <c r="E32" s="3105">
        <v>0.7</v>
      </c>
      <c r="F32" s="3102" t="s">
        <v>2466</v>
      </c>
      <c r="G32" s="3102"/>
    </row>
    <row r="33" spans="1:7" ht="19.5" customHeight="1">
      <c r="A33" s="3829"/>
      <c r="B33" s="3825"/>
      <c r="C33" s="3103" t="s">
        <v>2467</v>
      </c>
      <c r="D33" s="3104"/>
      <c r="E33" s="3105">
        <v>0.8</v>
      </c>
      <c r="F33" s="3102" t="s">
        <v>2468</v>
      </c>
      <c r="G33" s="3102"/>
    </row>
    <row r="34" spans="1:7" ht="19.5" customHeight="1">
      <c r="A34" s="3829"/>
      <c r="B34" s="3825"/>
      <c r="C34" s="3103" t="s">
        <v>2469</v>
      </c>
      <c r="D34" s="3104"/>
      <c r="E34" s="3105">
        <v>0.6</v>
      </c>
      <c r="F34" s="3102" t="s">
        <v>2470</v>
      </c>
      <c r="G34" s="3102"/>
    </row>
    <row r="35" spans="1:7" ht="19.5" customHeight="1">
      <c r="A35" s="3829"/>
      <c r="B35" s="3825"/>
      <c r="C35" s="3103" t="s">
        <v>2471</v>
      </c>
      <c r="D35" s="3104"/>
      <c r="E35" s="3105">
        <v>0.2</v>
      </c>
      <c r="F35" s="3102" t="s">
        <v>2472</v>
      </c>
      <c r="G35" s="3102"/>
    </row>
    <row r="36" spans="1:7" ht="19.5" customHeight="1">
      <c r="A36" s="3829"/>
      <c r="B36" s="3825"/>
      <c r="C36" s="3103" t="s">
        <v>2473</v>
      </c>
      <c r="D36" s="3104"/>
      <c r="E36" s="3105">
        <v>0.2</v>
      </c>
      <c r="F36" s="3102" t="s">
        <v>2474</v>
      </c>
      <c r="G36" s="3102"/>
    </row>
    <row r="37" spans="1:7" ht="19.5" customHeight="1">
      <c r="A37" s="3829"/>
      <c r="B37" s="3823" t="s">
        <v>2635</v>
      </c>
      <c r="C37" s="3103" t="s">
        <v>2475</v>
      </c>
      <c r="D37" s="3104"/>
      <c r="E37" s="3105">
        <v>0.6</v>
      </c>
      <c r="F37" s="3102" t="s">
        <v>2476</v>
      </c>
      <c r="G37" s="3102"/>
    </row>
    <row r="38" spans="1:7" ht="19.5" customHeight="1">
      <c r="A38" s="3829"/>
      <c r="B38" s="3825"/>
      <c r="C38" s="3103" t="s">
        <v>2477</v>
      </c>
      <c r="D38" s="3104"/>
      <c r="E38" s="3105">
        <v>0.6</v>
      </c>
      <c r="F38" s="3102" t="s">
        <v>2478</v>
      </c>
      <c r="G38" s="3102"/>
    </row>
    <row r="39" spans="1:7" ht="19.5" customHeight="1" thickBot="1">
      <c r="A39" s="3830"/>
      <c r="B39" s="3827"/>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31" t="s">
        <v>2613</v>
      </c>
      <c r="B41" s="3826" t="s">
        <v>2637</v>
      </c>
      <c r="C41" s="3099" t="s">
        <v>2482</v>
      </c>
      <c r="D41" s="3100"/>
      <c r="E41" s="3101">
        <v>1</v>
      </c>
      <c r="F41" s="3102" t="s">
        <v>2483</v>
      </c>
      <c r="G41" s="3102"/>
    </row>
    <row r="42" spans="1:7" ht="19.5" customHeight="1">
      <c r="A42" s="3832"/>
      <c r="B42" s="3825"/>
      <c r="C42" s="3103" t="s">
        <v>2484</v>
      </c>
      <c r="D42" s="3104"/>
      <c r="E42" s="3105">
        <v>1</v>
      </c>
      <c r="F42" s="3102" t="s">
        <v>2485</v>
      </c>
      <c r="G42" s="3102"/>
    </row>
    <row r="43" spans="1:7" ht="19.5" customHeight="1">
      <c r="A43" s="3832"/>
      <c r="B43" s="3824"/>
      <c r="C43" s="3103" t="s">
        <v>2486</v>
      </c>
      <c r="D43" s="3104"/>
      <c r="E43" s="3105">
        <v>1.5</v>
      </c>
      <c r="F43" s="3102" t="s">
        <v>2487</v>
      </c>
      <c r="G43" s="3102"/>
    </row>
    <row r="44" spans="1:7" ht="19.5" customHeight="1">
      <c r="A44" s="3832"/>
      <c r="B44" s="3114" t="s">
        <v>2638</v>
      </c>
      <c r="C44" s="3103" t="s">
        <v>2639</v>
      </c>
      <c r="D44" s="3104"/>
      <c r="E44" s="3105">
        <v>2</v>
      </c>
      <c r="F44" s="3102" t="s">
        <v>2488</v>
      </c>
      <c r="G44" s="3102"/>
    </row>
    <row r="45" spans="1:7" ht="19.5" customHeight="1">
      <c r="A45" s="3832"/>
      <c r="B45" s="3823" t="s">
        <v>2640</v>
      </c>
      <c r="C45" s="3103" t="s">
        <v>2489</v>
      </c>
      <c r="D45" s="3104"/>
      <c r="E45" s="3105">
        <v>1</v>
      </c>
      <c r="F45" s="3102" t="s">
        <v>2490</v>
      </c>
      <c r="G45" s="3102"/>
    </row>
    <row r="46" spans="1:7" ht="19.5" customHeight="1">
      <c r="A46" s="3832"/>
      <c r="B46" s="3825"/>
      <c r="C46" s="3103" t="s">
        <v>2491</v>
      </c>
      <c r="D46" s="3104"/>
      <c r="E46" s="3105">
        <v>1</v>
      </c>
      <c r="F46" s="3102" t="s">
        <v>2492</v>
      </c>
      <c r="G46" s="3102"/>
    </row>
    <row r="47" spans="1:7" ht="19.5" customHeight="1">
      <c r="A47" s="3832"/>
      <c r="B47" s="3825"/>
      <c r="C47" s="3103" t="s">
        <v>2493</v>
      </c>
      <c r="D47" s="3104"/>
      <c r="E47" s="3105">
        <v>1</v>
      </c>
      <c r="F47" s="3102" t="s">
        <v>2494</v>
      </c>
      <c r="G47" s="3102"/>
    </row>
    <row r="48" spans="1:7" ht="19.5" customHeight="1">
      <c r="A48" s="3832"/>
      <c r="B48" s="3825"/>
      <c r="C48" s="3103" t="s">
        <v>2495</v>
      </c>
      <c r="D48" s="3104"/>
      <c r="E48" s="3105">
        <v>1</v>
      </c>
      <c r="F48" s="3102" t="s">
        <v>2496</v>
      </c>
      <c r="G48" s="3102"/>
    </row>
    <row r="49" spans="1:7" ht="19.5" customHeight="1">
      <c r="A49" s="3832"/>
      <c r="B49" s="3825"/>
      <c r="C49" s="3103" t="s">
        <v>2497</v>
      </c>
      <c r="D49" s="3104"/>
      <c r="E49" s="3105">
        <v>1</v>
      </c>
      <c r="F49" s="3102" t="s">
        <v>2498</v>
      </c>
      <c r="G49" s="3102"/>
    </row>
    <row r="50" spans="1:7" ht="19.5" customHeight="1">
      <c r="A50" s="3832"/>
      <c r="B50" s="3825"/>
      <c r="C50" s="3103" t="s">
        <v>2499</v>
      </c>
      <c r="D50" s="3104"/>
      <c r="E50" s="3105">
        <v>1</v>
      </c>
      <c r="F50" s="3102" t="s">
        <v>2500</v>
      </c>
      <c r="G50" s="3102"/>
    </row>
    <row r="51" spans="1:7" ht="19.5" customHeight="1" thickBot="1">
      <c r="A51" s="3833"/>
      <c r="B51" s="3827"/>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23" t="s">
        <v>2654</v>
      </c>
      <c r="C73" s="3088" t="s">
        <v>2655</v>
      </c>
      <c r="D73" s="3088" t="s">
        <v>2656</v>
      </c>
      <c r="E73" s="3114">
        <v>0.2</v>
      </c>
      <c r="F73" s="3114">
        <v>25</v>
      </c>
    </row>
    <row r="74" spans="1:7" ht="24">
      <c r="A74" s="3114">
        <v>2</v>
      </c>
      <c r="B74" s="3825"/>
      <c r="C74" s="3088" t="s">
        <v>2657</v>
      </c>
      <c r="D74" s="3088" t="s">
        <v>2658</v>
      </c>
      <c r="E74" s="3114">
        <v>0.2</v>
      </c>
      <c r="F74" s="3114">
        <v>25</v>
      </c>
    </row>
    <row r="75" spans="1:7" ht="24">
      <c r="A75" s="3114">
        <v>3</v>
      </c>
      <c r="B75" s="3825"/>
      <c r="C75" s="3088" t="s">
        <v>2659</v>
      </c>
      <c r="D75" s="3088" t="s">
        <v>2660</v>
      </c>
      <c r="E75" s="3114">
        <v>0.2</v>
      </c>
      <c r="F75" s="3114">
        <v>25</v>
      </c>
    </row>
    <row r="76" spans="1:7" ht="13.5">
      <c r="A76" s="3114">
        <v>4</v>
      </c>
      <c r="B76" s="3825"/>
      <c r="C76" s="3088" t="s">
        <v>2661</v>
      </c>
      <c r="D76" s="3088" t="s">
        <v>2662</v>
      </c>
      <c r="E76" s="3114">
        <v>0.15</v>
      </c>
      <c r="F76" s="3114">
        <v>20</v>
      </c>
    </row>
    <row r="77" spans="1:7" ht="24">
      <c r="A77" s="3114">
        <v>5</v>
      </c>
      <c r="B77" s="3825"/>
      <c r="C77" s="3088" t="s">
        <v>2663</v>
      </c>
      <c r="D77" s="3088" t="s">
        <v>2664</v>
      </c>
      <c r="E77" s="3114">
        <v>0.15</v>
      </c>
      <c r="F77" s="3114">
        <v>20</v>
      </c>
    </row>
    <row r="78" spans="1:7" ht="24">
      <c r="A78" s="3114">
        <v>6</v>
      </c>
      <c r="B78" s="3825"/>
      <c r="C78" s="3088" t="s">
        <v>2665</v>
      </c>
      <c r="D78" s="3088" t="s">
        <v>2666</v>
      </c>
      <c r="E78" s="3114">
        <v>0.15</v>
      </c>
      <c r="F78" s="3114">
        <v>20</v>
      </c>
    </row>
    <row r="79" spans="1:7" ht="24">
      <c r="A79" s="3114">
        <v>7</v>
      </c>
      <c r="B79" s="3825"/>
      <c r="C79" s="3088" t="s">
        <v>2667</v>
      </c>
      <c r="D79" s="3088" t="s">
        <v>2668</v>
      </c>
      <c r="E79" s="3114">
        <v>0.15</v>
      </c>
      <c r="F79" s="3114">
        <v>20</v>
      </c>
    </row>
    <row r="80" spans="1:7" ht="24">
      <c r="A80" s="3114">
        <v>8</v>
      </c>
      <c r="B80" s="3825"/>
      <c r="C80" s="3088" t="s">
        <v>2669</v>
      </c>
      <c r="D80" s="3088" t="s">
        <v>2670</v>
      </c>
      <c r="E80" s="3114">
        <v>0.1</v>
      </c>
      <c r="F80" s="3114">
        <v>15</v>
      </c>
    </row>
    <row r="81" spans="1:6" ht="24">
      <c r="A81" s="3114">
        <v>9</v>
      </c>
      <c r="B81" s="3825"/>
      <c r="C81" s="3088" t="s">
        <v>2671</v>
      </c>
      <c r="D81" s="3088" t="s">
        <v>2672</v>
      </c>
      <c r="E81" s="3114">
        <v>0.1</v>
      </c>
      <c r="F81" s="3114">
        <v>15</v>
      </c>
    </row>
    <row r="82" spans="1:6" ht="24">
      <c r="A82" s="3114">
        <v>10</v>
      </c>
      <c r="B82" s="3825"/>
      <c r="C82" s="3088" t="s">
        <v>2673</v>
      </c>
      <c r="D82" s="3088" t="s">
        <v>2674</v>
      </c>
      <c r="E82" s="3114">
        <v>0.1</v>
      </c>
      <c r="F82" s="3114">
        <v>15</v>
      </c>
    </row>
    <row r="83" spans="1:6" ht="24">
      <c r="A83" s="3114">
        <v>11</v>
      </c>
      <c r="B83" s="3825"/>
      <c r="C83" s="3088" t="s">
        <v>2675</v>
      </c>
      <c r="D83" s="3088" t="s">
        <v>2676</v>
      </c>
      <c r="E83" s="3114">
        <v>0.1</v>
      </c>
      <c r="F83" s="3114">
        <v>15</v>
      </c>
    </row>
    <row r="84" spans="1:6" ht="24">
      <c r="A84" s="3114">
        <v>12</v>
      </c>
      <c r="B84" s="3825"/>
      <c r="C84" s="3088" t="s">
        <v>2677</v>
      </c>
      <c r="D84" s="3088" t="s">
        <v>2678</v>
      </c>
      <c r="E84" s="3114">
        <v>0.1</v>
      </c>
      <c r="F84" s="3114">
        <v>15</v>
      </c>
    </row>
    <row r="85" spans="1:6" ht="13.5">
      <c r="A85" s="3114">
        <v>13</v>
      </c>
      <c r="B85" s="3825"/>
      <c r="C85" s="3088" t="s">
        <v>2679</v>
      </c>
      <c r="D85" s="3088" t="s">
        <v>2680</v>
      </c>
      <c r="E85" s="3114">
        <v>0.1</v>
      </c>
      <c r="F85" s="3114">
        <v>15</v>
      </c>
    </row>
    <row r="86" spans="1:6" ht="13.5">
      <c r="A86" s="3114">
        <v>14</v>
      </c>
      <c r="B86" s="3825"/>
      <c r="C86" s="3088" t="s">
        <v>2681</v>
      </c>
      <c r="D86" s="3088" t="s">
        <v>2682</v>
      </c>
      <c r="E86" s="3114">
        <v>0.1</v>
      </c>
      <c r="F86" s="3114">
        <v>15</v>
      </c>
    </row>
    <row r="87" spans="1:6" ht="13.5">
      <c r="A87" s="3114">
        <v>15</v>
      </c>
      <c r="B87" s="3825"/>
      <c r="C87" s="3088" t="s">
        <v>2683</v>
      </c>
      <c r="D87" s="3088" t="s">
        <v>2684</v>
      </c>
      <c r="E87" s="3114">
        <v>0.1</v>
      </c>
      <c r="F87" s="3114">
        <v>15</v>
      </c>
    </row>
    <row r="88" spans="1:6" ht="24">
      <c r="A88" s="3114">
        <v>16</v>
      </c>
      <c r="B88" s="3825"/>
      <c r="C88" s="3088" t="s">
        <v>2685</v>
      </c>
      <c r="D88" s="3088" t="s">
        <v>2686</v>
      </c>
      <c r="E88" s="3114">
        <v>0.1</v>
      </c>
      <c r="F88" s="3114">
        <v>15</v>
      </c>
    </row>
    <row r="89" spans="1:6" ht="24">
      <c r="A89" s="3114">
        <v>17</v>
      </c>
      <c r="B89" s="3824"/>
      <c r="C89" s="3088" t="s">
        <v>2687</v>
      </c>
      <c r="D89" s="3088" t="s">
        <v>2688</v>
      </c>
      <c r="E89" s="3114">
        <v>0.1</v>
      </c>
      <c r="F89" s="3114">
        <v>15</v>
      </c>
    </row>
    <row r="90" spans="1:6" ht="13.5">
      <c r="A90" s="3114">
        <v>18</v>
      </c>
      <c r="B90" s="3823" t="s">
        <v>2689</v>
      </c>
      <c r="C90" s="3088" t="s">
        <v>2690</v>
      </c>
      <c r="D90" s="3088" t="s">
        <v>2691</v>
      </c>
      <c r="E90" s="3114">
        <v>0.2</v>
      </c>
      <c r="F90" s="3114">
        <v>25</v>
      </c>
    </row>
    <row r="91" spans="1:6" ht="24">
      <c r="A91" s="3114">
        <v>19</v>
      </c>
      <c r="B91" s="3825"/>
      <c r="C91" s="3088" t="s">
        <v>2692</v>
      </c>
      <c r="D91" s="3088" t="s">
        <v>2693</v>
      </c>
      <c r="E91" s="3114">
        <v>0.2</v>
      </c>
      <c r="F91" s="3114">
        <v>25</v>
      </c>
    </row>
    <row r="92" spans="1:6" ht="13.5">
      <c r="A92" s="3114">
        <v>20</v>
      </c>
      <c r="B92" s="3825"/>
      <c r="C92" s="3088" t="s">
        <v>2694</v>
      </c>
      <c r="D92" s="3088" t="s">
        <v>2695</v>
      </c>
      <c r="E92" s="3114">
        <v>0.15</v>
      </c>
      <c r="F92" s="3114">
        <v>20</v>
      </c>
    </row>
    <row r="93" spans="1:6" ht="13.5">
      <c r="A93" s="3114">
        <v>21</v>
      </c>
      <c r="B93" s="3825"/>
      <c r="C93" s="3088" t="s">
        <v>2696</v>
      </c>
      <c r="D93" s="3088" t="s">
        <v>2697</v>
      </c>
      <c r="E93" s="3114">
        <v>0.15</v>
      </c>
      <c r="F93" s="3114">
        <v>20</v>
      </c>
    </row>
    <row r="94" spans="1:6" ht="13.5">
      <c r="A94" s="3114">
        <v>22</v>
      </c>
      <c r="B94" s="3825"/>
      <c r="C94" s="3088" t="s">
        <v>2698</v>
      </c>
      <c r="D94" s="3088" t="s">
        <v>2699</v>
      </c>
      <c r="E94" s="3114">
        <v>0.15</v>
      </c>
      <c r="F94" s="3114">
        <v>20</v>
      </c>
    </row>
    <row r="95" spans="1:6" ht="36">
      <c r="A95" s="3114">
        <v>23</v>
      </c>
      <c r="B95" s="3825"/>
      <c r="C95" s="3088" t="s">
        <v>2700</v>
      </c>
      <c r="D95" s="3088" t="s">
        <v>2701</v>
      </c>
      <c r="E95" s="3114">
        <v>0.15</v>
      </c>
      <c r="F95" s="3114">
        <v>20</v>
      </c>
    </row>
    <row r="96" spans="1:6" ht="13.5">
      <c r="A96" s="3114">
        <v>24</v>
      </c>
      <c r="B96" s="3825"/>
      <c r="C96" s="3088" t="s">
        <v>2702</v>
      </c>
      <c r="D96" s="3088" t="s">
        <v>2703</v>
      </c>
      <c r="E96" s="3114">
        <v>0.1</v>
      </c>
      <c r="F96" s="3114">
        <v>15</v>
      </c>
    </row>
    <row r="97" spans="1:6" ht="13.5">
      <c r="A97" s="3114">
        <v>25</v>
      </c>
      <c r="B97" s="3825"/>
      <c r="C97" s="3088" t="s">
        <v>2704</v>
      </c>
      <c r="D97" s="3088" t="s">
        <v>2705</v>
      </c>
      <c r="E97" s="3114">
        <v>0.1</v>
      </c>
      <c r="F97" s="3114">
        <v>15</v>
      </c>
    </row>
    <row r="98" spans="1:6" ht="24">
      <c r="A98" s="3114">
        <v>26</v>
      </c>
      <c r="B98" s="3825"/>
      <c r="C98" s="3088" t="s">
        <v>2706</v>
      </c>
      <c r="D98" s="3088" t="s">
        <v>2707</v>
      </c>
      <c r="E98" s="3114">
        <v>0.1</v>
      </c>
      <c r="F98" s="3114">
        <v>15</v>
      </c>
    </row>
    <row r="99" spans="1:6" ht="24">
      <c r="A99" s="3114">
        <v>27</v>
      </c>
      <c r="B99" s="3825"/>
      <c r="C99" s="3088" t="s">
        <v>2708</v>
      </c>
      <c r="D99" s="3088" t="s">
        <v>2709</v>
      </c>
      <c r="E99" s="3114">
        <v>0.1</v>
      </c>
      <c r="F99" s="3114">
        <v>15</v>
      </c>
    </row>
    <row r="100" spans="1:6" ht="13.5">
      <c r="A100" s="3114">
        <v>28</v>
      </c>
      <c r="B100" s="3825"/>
      <c r="C100" s="3088" t="s">
        <v>2710</v>
      </c>
      <c r="D100" s="3088" t="s">
        <v>2711</v>
      </c>
      <c r="E100" s="3114">
        <v>0.1</v>
      </c>
      <c r="F100" s="3114">
        <v>15</v>
      </c>
    </row>
    <row r="101" spans="1:6" ht="13.5">
      <c r="A101" s="3114">
        <v>29</v>
      </c>
      <c r="B101" s="3825"/>
      <c r="C101" s="3088" t="s">
        <v>2712</v>
      </c>
      <c r="D101" s="3088" t="s">
        <v>2713</v>
      </c>
      <c r="E101" s="3114">
        <v>0.1</v>
      </c>
      <c r="F101" s="3114">
        <v>15</v>
      </c>
    </row>
    <row r="102" spans="1:6" ht="13.5">
      <c r="A102" s="3114">
        <v>30</v>
      </c>
      <c r="B102" s="3825"/>
      <c r="C102" s="3088" t="s">
        <v>2714</v>
      </c>
      <c r="D102" s="3088" t="s">
        <v>2715</v>
      </c>
      <c r="E102" s="3114">
        <v>0.1</v>
      </c>
      <c r="F102" s="3114">
        <v>15</v>
      </c>
    </row>
    <row r="103" spans="1:6" ht="24">
      <c r="A103" s="3114">
        <v>31</v>
      </c>
      <c r="B103" s="3825"/>
      <c r="C103" s="3088" t="s">
        <v>2716</v>
      </c>
      <c r="D103" s="3088" t="s">
        <v>2717</v>
      </c>
      <c r="E103" s="3114">
        <v>0.1</v>
      </c>
      <c r="F103" s="3114">
        <v>15</v>
      </c>
    </row>
    <row r="104" spans="1:6" ht="24">
      <c r="A104" s="3114">
        <v>32</v>
      </c>
      <c r="B104" s="3825"/>
      <c r="C104" s="3088" t="s">
        <v>2718</v>
      </c>
      <c r="D104" s="3088" t="s">
        <v>2719</v>
      </c>
      <c r="E104" s="3114">
        <v>0.1</v>
      </c>
      <c r="F104" s="3114">
        <v>15</v>
      </c>
    </row>
    <row r="105" spans="1:6" ht="24">
      <c r="A105" s="3114">
        <v>33</v>
      </c>
      <c r="B105" s="3825"/>
      <c r="C105" s="3088" t="s">
        <v>2720</v>
      </c>
      <c r="D105" s="3088" t="s">
        <v>2721</v>
      </c>
      <c r="E105" s="3114">
        <v>0.1</v>
      </c>
      <c r="F105" s="3114">
        <v>15</v>
      </c>
    </row>
    <row r="106" spans="1:6" ht="24">
      <c r="A106" s="3114">
        <v>34</v>
      </c>
      <c r="B106" s="3824"/>
      <c r="C106" s="3088" t="s">
        <v>2722</v>
      </c>
      <c r="D106" s="3088" t="s">
        <v>2723</v>
      </c>
      <c r="E106" s="3114">
        <v>0.1</v>
      </c>
      <c r="F106" s="3114">
        <v>15</v>
      </c>
    </row>
    <row r="107" spans="1:6" ht="24">
      <c r="A107" s="3114">
        <v>35</v>
      </c>
      <c r="B107" s="3823" t="s">
        <v>2724</v>
      </c>
      <c r="C107" s="3114" t="s">
        <v>2725</v>
      </c>
      <c r="D107" s="3088" t="s">
        <v>2726</v>
      </c>
      <c r="E107" s="3114">
        <v>0.15</v>
      </c>
      <c r="F107" s="3114">
        <v>20</v>
      </c>
    </row>
    <row r="108" spans="1:6" ht="13.5">
      <c r="A108" s="3114">
        <v>36</v>
      </c>
      <c r="B108" s="3825"/>
      <c r="C108" s="3114" t="s">
        <v>2727</v>
      </c>
      <c r="D108" s="3088" t="s">
        <v>2728</v>
      </c>
      <c r="E108" s="3114">
        <v>0.15</v>
      </c>
      <c r="F108" s="3114">
        <v>20</v>
      </c>
    </row>
    <row r="109" spans="1:6" ht="13.5">
      <c r="A109" s="3114">
        <v>37</v>
      </c>
      <c r="B109" s="3825"/>
      <c r="C109" s="3114" t="s">
        <v>2729</v>
      </c>
      <c r="D109" s="3088" t="s">
        <v>2730</v>
      </c>
      <c r="E109" s="3114">
        <v>0.15</v>
      </c>
      <c r="F109" s="3114">
        <v>20</v>
      </c>
    </row>
    <row r="110" spans="1:6" ht="13.5">
      <c r="A110" s="3114">
        <v>38</v>
      </c>
      <c r="B110" s="3825"/>
      <c r="C110" s="3114" t="s">
        <v>2731</v>
      </c>
      <c r="D110" s="3088" t="s">
        <v>2732</v>
      </c>
      <c r="E110" s="3114">
        <v>0.1</v>
      </c>
      <c r="F110" s="3114">
        <v>15</v>
      </c>
    </row>
    <row r="111" spans="1:6" ht="24">
      <c r="A111" s="3114">
        <v>39</v>
      </c>
      <c r="B111" s="3825"/>
      <c r="C111" s="3114" t="s">
        <v>2733</v>
      </c>
      <c r="D111" s="3088" t="s">
        <v>2734</v>
      </c>
      <c r="E111" s="3114">
        <v>0.1</v>
      </c>
      <c r="F111" s="3114">
        <v>15</v>
      </c>
    </row>
    <row r="112" spans="1:6" ht="24">
      <c r="A112" s="3114">
        <v>40</v>
      </c>
      <c r="B112" s="3824"/>
      <c r="C112" s="3114" t="s">
        <v>2735</v>
      </c>
      <c r="D112" s="3088" t="s">
        <v>2736</v>
      </c>
      <c r="E112" s="3114">
        <v>0.1</v>
      </c>
      <c r="F112" s="3114">
        <v>15</v>
      </c>
    </row>
    <row r="113" spans="1:6" ht="13.5">
      <c r="A113" s="3114">
        <v>41</v>
      </c>
      <c r="B113" s="3822" t="s">
        <v>2737</v>
      </c>
      <c r="C113" s="3114" t="s">
        <v>2738</v>
      </c>
      <c r="D113" s="3088" t="s">
        <v>2739</v>
      </c>
      <c r="E113" s="3114">
        <v>0.1</v>
      </c>
      <c r="F113" s="3114">
        <v>15</v>
      </c>
    </row>
    <row r="114" spans="1:6" ht="13.5">
      <c r="A114" s="3114">
        <v>42</v>
      </c>
      <c r="B114" s="3822"/>
      <c r="C114" s="3114" t="s">
        <v>2740</v>
      </c>
      <c r="D114" s="3088" t="s">
        <v>2741</v>
      </c>
      <c r="E114" s="3114">
        <v>0.1</v>
      </c>
      <c r="F114" s="3114">
        <v>15</v>
      </c>
    </row>
    <row r="115" spans="1:6" ht="24">
      <c r="A115" s="3114">
        <v>43</v>
      </c>
      <c r="B115" s="3822"/>
      <c r="C115" s="3114" t="s">
        <v>2742</v>
      </c>
      <c r="D115" s="3088" t="s">
        <v>2743</v>
      </c>
      <c r="E115" s="3114">
        <v>0.1</v>
      </c>
      <c r="F115" s="3114">
        <v>15</v>
      </c>
    </row>
    <row r="116" spans="1:6" ht="13.5">
      <c r="A116" s="3114">
        <v>44</v>
      </c>
      <c r="B116" s="3823" t="s">
        <v>2744</v>
      </c>
      <c r="C116" s="3114" t="s">
        <v>2745</v>
      </c>
      <c r="D116" s="3088" t="s">
        <v>2746</v>
      </c>
      <c r="E116" s="3114">
        <v>0.1</v>
      </c>
      <c r="F116" s="3114">
        <v>15</v>
      </c>
    </row>
    <row r="117" spans="1:6" ht="24">
      <c r="A117" s="3114">
        <v>45</v>
      </c>
      <c r="B117" s="3824"/>
      <c r="C117" s="3088" t="s">
        <v>2747</v>
      </c>
      <c r="D117" s="3088" t="s">
        <v>2748</v>
      </c>
      <c r="E117" s="3114">
        <v>0.1</v>
      </c>
      <c r="F117" s="3114">
        <v>15</v>
      </c>
    </row>
    <row r="118" spans="1:6" ht="24">
      <c r="A118" s="3114">
        <v>46</v>
      </c>
      <c r="B118" s="3823" t="s">
        <v>2749</v>
      </c>
      <c r="C118" s="3114" t="s">
        <v>2750</v>
      </c>
      <c r="D118" s="3088" t="s">
        <v>2751</v>
      </c>
      <c r="E118" s="3114">
        <v>0.1</v>
      </c>
      <c r="F118" s="3114">
        <v>15</v>
      </c>
    </row>
    <row r="119" spans="1:6" ht="24">
      <c r="A119" s="3114">
        <v>47</v>
      </c>
      <c r="B119" s="3824"/>
      <c r="C119" s="3114" t="s">
        <v>2752</v>
      </c>
      <c r="D119" s="3088" t="s">
        <v>2753</v>
      </c>
      <c r="E119" s="3114">
        <v>0.1</v>
      </c>
      <c r="F119" s="3114">
        <v>15</v>
      </c>
    </row>
    <row r="120" spans="1:6" ht="13.5">
      <c r="A120" s="3114">
        <v>48</v>
      </c>
      <c r="B120" s="3823" t="s">
        <v>2754</v>
      </c>
      <c r="C120" s="3114" t="s">
        <v>2755</v>
      </c>
      <c r="D120" s="3088" t="s">
        <v>2756</v>
      </c>
      <c r="E120" s="3114">
        <v>0.1</v>
      </c>
      <c r="F120" s="3114">
        <v>15</v>
      </c>
    </row>
    <row r="121" spans="1:6" ht="13.5">
      <c r="A121" s="3114">
        <v>49</v>
      </c>
      <c r="B121" s="3824"/>
      <c r="C121" s="3114" t="s">
        <v>2757</v>
      </c>
      <c r="D121" s="3088" t="s">
        <v>2758</v>
      </c>
      <c r="E121" s="3114">
        <v>0.1</v>
      </c>
      <c r="F121" s="3114">
        <v>15</v>
      </c>
    </row>
    <row r="122" spans="1:6" ht="24">
      <c r="A122" s="3114">
        <v>50</v>
      </c>
      <c r="B122" s="3822" t="s">
        <v>2759</v>
      </c>
      <c r="C122" s="3114" t="s">
        <v>2760</v>
      </c>
      <c r="D122" s="3088" t="s">
        <v>2761</v>
      </c>
      <c r="E122" s="3114">
        <v>0.1</v>
      </c>
      <c r="F122" s="3114">
        <v>15</v>
      </c>
    </row>
    <row r="123" spans="1:6" ht="24">
      <c r="A123" s="3114">
        <v>51</v>
      </c>
      <c r="B123" s="3822"/>
      <c r="C123" s="3114" t="s">
        <v>2762</v>
      </c>
      <c r="D123" s="3088" t="s">
        <v>2763</v>
      </c>
      <c r="E123" s="3114">
        <v>0.1</v>
      </c>
      <c r="F123" s="3114">
        <v>15</v>
      </c>
    </row>
    <row r="124" spans="1:6" ht="24">
      <c r="A124" s="3114">
        <v>52</v>
      </c>
      <c r="B124" s="3822" t="s">
        <v>2764</v>
      </c>
      <c r="C124" s="3114" t="s">
        <v>2765</v>
      </c>
      <c r="D124" s="3088" t="s">
        <v>2766</v>
      </c>
      <c r="E124" s="3114">
        <v>0.1</v>
      </c>
      <c r="F124" s="3114">
        <v>15</v>
      </c>
    </row>
    <row r="125" spans="1:6" ht="24">
      <c r="A125" s="3114">
        <v>53</v>
      </c>
      <c r="B125" s="3822"/>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22" t="s">
        <v>2772</v>
      </c>
      <c r="C127" s="3114" t="s">
        <v>2773</v>
      </c>
      <c r="D127" s="3088" t="s">
        <v>2774</v>
      </c>
      <c r="E127" s="3114">
        <v>0.1</v>
      </c>
      <c r="F127" s="3114">
        <v>15</v>
      </c>
    </row>
    <row r="128" spans="1:6" ht="13.5">
      <c r="A128" s="3114">
        <v>56</v>
      </c>
      <c r="B128" s="3822"/>
      <c r="C128" s="3114" t="s">
        <v>2775</v>
      </c>
      <c r="D128" s="3088" t="s">
        <v>2776</v>
      </c>
      <c r="E128" s="3114">
        <v>0.1</v>
      </c>
      <c r="F128" s="3114">
        <v>15</v>
      </c>
    </row>
    <row r="129" spans="1:6" ht="24">
      <c r="A129" s="3114">
        <v>57</v>
      </c>
      <c r="B129" s="3822"/>
      <c r="C129" s="3114" t="s">
        <v>2777</v>
      </c>
      <c r="D129" s="3088" t="s">
        <v>2778</v>
      </c>
      <c r="E129" s="3114">
        <v>0.1</v>
      </c>
      <c r="F129" s="3114">
        <v>15</v>
      </c>
    </row>
    <row r="130" spans="1:6" ht="24">
      <c r="A130" s="3114">
        <v>58</v>
      </c>
      <c r="B130" s="3822" t="s">
        <v>2779</v>
      </c>
      <c r="C130" s="3114" t="s">
        <v>2780</v>
      </c>
      <c r="D130" s="3088" t="s">
        <v>2781</v>
      </c>
      <c r="E130" s="3114">
        <v>0.1</v>
      </c>
      <c r="F130" s="3114">
        <v>15</v>
      </c>
    </row>
    <row r="131" spans="1:6" ht="13.5">
      <c r="A131" s="3114">
        <v>59</v>
      </c>
      <c r="B131" s="3822"/>
      <c r="C131" s="3114" t="s">
        <v>2782</v>
      </c>
      <c r="D131" s="3088" t="s">
        <v>2783</v>
      </c>
      <c r="E131" s="3114">
        <v>0.1</v>
      </c>
      <c r="F131" s="3114">
        <v>15</v>
      </c>
    </row>
    <row r="132" spans="1:6" ht="13.5">
      <c r="A132" s="3114">
        <v>60</v>
      </c>
      <c r="B132" s="3823" t="s">
        <v>2784</v>
      </c>
      <c r="C132" s="3114" t="s">
        <v>2785</v>
      </c>
      <c r="D132" s="3088" t="s">
        <v>2786</v>
      </c>
      <c r="E132" s="3114">
        <v>0.1</v>
      </c>
      <c r="F132" s="3114">
        <v>15</v>
      </c>
    </row>
    <row r="133" spans="1:6" ht="13.5">
      <c r="A133" s="3114">
        <v>61</v>
      </c>
      <c r="B133" s="3824"/>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22" t="s">
        <v>2792</v>
      </c>
      <c r="C135" s="3114" t="s">
        <v>2793</v>
      </c>
      <c r="D135" s="3088" t="s">
        <v>2794</v>
      </c>
      <c r="E135" s="3114">
        <v>0.1</v>
      </c>
      <c r="F135" s="3114">
        <v>15</v>
      </c>
    </row>
    <row r="136" spans="1:6" ht="13.5">
      <c r="A136" s="3114">
        <v>64</v>
      </c>
      <c r="B136" s="3822"/>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2801</v>
      </c>
      <c r="B1" s="3123"/>
      <c r="C1" s="3123"/>
      <c r="D1" s="3123"/>
      <c r="E1" s="3123"/>
      <c r="F1" s="3123"/>
      <c r="G1" s="3123"/>
      <c r="H1" s="3123"/>
      <c r="I1" s="3123"/>
      <c r="J1" s="3123"/>
      <c r="K1" s="3123"/>
      <c r="L1" s="3123"/>
      <c r="M1" s="3123"/>
      <c r="N1" s="748"/>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9">
        <f>SUMPRODUCT((A95:A184=ROUNDDOWN(基准地价修正!G3,1))*(B94:M94=基准地价修正!G2)*(B95:M184))</f>
        <v>1</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9">
        <f>SUMPRODUCT((A371:A460=ROUNDDOWN(基准地价修正!G3,1))*(B370:M370=基准地价修正!G2)*(B371:M460))</f>
        <v>0.9103</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v>
      </c>
      <c r="B3" s="3513"/>
      <c r="C3" s="3513"/>
      <c r="D3" s="3513"/>
      <c r="E3" s="3513"/>
    </row>
    <row r="4" spans="1:5" ht="19.5" thickBot="1">
      <c r="A4" s="1492"/>
      <c r="B4" s="3511" t="s">
        <v>917</v>
      </c>
      <c r="C4" s="3511"/>
      <c r="D4" s="3511"/>
      <c r="E4" s="1492"/>
    </row>
    <row r="5" spans="1:5" ht="16.5" thickTop="1">
      <c r="A5" s="1490"/>
      <c r="B5" s="3509" t="s">
        <v>909</v>
      </c>
      <c r="C5" s="1493" t="s">
        <v>910</v>
      </c>
      <c r="D5" s="849">
        <f ca="1">结果表!H101</f>
        <v>175</v>
      </c>
      <c r="E5" s="1490"/>
    </row>
    <row r="6" spans="1:5" ht="15.75">
      <c r="A6" s="1490"/>
      <c r="B6" s="3509"/>
      <c r="C6" s="1493" t="s">
        <v>911</v>
      </c>
      <c r="D6" s="849" t="str">
        <f ca="1">NUMBERSTRING(INT(D5*10000),2)&amp;"元整"</f>
        <v>壹佰柒拾伍万元整</v>
      </c>
      <c r="E6" s="1490"/>
    </row>
    <row r="7" spans="1:5" ht="15.75">
      <c r="A7" s="1490"/>
      <c r="B7" s="3514"/>
      <c r="C7" s="1494" t="s">
        <v>912</v>
      </c>
      <c r="D7" s="850">
        <f ca="1">结果表!H102</f>
        <v>10020</v>
      </c>
      <c r="E7" s="1490"/>
    </row>
    <row r="8" spans="1:5" ht="15.75">
      <c r="A8" s="1490"/>
      <c r="B8" s="3515" t="str">
        <f>结果表!E103</f>
        <v>2.估价师知悉的法定优先受偿款</v>
      </c>
      <c r="C8" s="1495" t="s">
        <v>913</v>
      </c>
      <c r="D8" s="850">
        <f>结果表!H103</f>
        <v>0</v>
      </c>
      <c r="E8" s="1490"/>
    </row>
    <row r="9" spans="1:5" ht="15.75">
      <c r="A9" s="1490"/>
      <c r="B9" s="351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8" t="str">
        <f>结果表!E107</f>
        <v>3.房地产抵押价值</v>
      </c>
      <c r="C13" s="1498" t="s">
        <v>910</v>
      </c>
      <c r="D13" s="852">
        <f ca="1">结果表!H107</f>
        <v>175</v>
      </c>
      <c r="E13" s="1490"/>
    </row>
    <row r="14" spans="1:5" ht="15.75">
      <c r="A14" s="1490"/>
      <c r="B14" s="3509"/>
      <c r="C14" s="1493" t="s">
        <v>911</v>
      </c>
      <c r="D14" s="849" t="str">
        <f ca="1">NUMBERSTRING(INT(D13*10000),2)&amp;"元整"</f>
        <v>壹佰柒拾伍万元整</v>
      </c>
      <c r="E14" s="1490"/>
    </row>
    <row r="15" spans="1:5" ht="15">
      <c r="A15" s="1490"/>
      <c r="B15" s="3514"/>
      <c r="C15" s="1494" t="s">
        <v>921</v>
      </c>
      <c r="D15" s="858">
        <f ca="1">结果表!H108</f>
        <v>10020</v>
      </c>
      <c r="E15" s="1490"/>
    </row>
    <row r="16" spans="1:5" ht="15">
      <c r="A16" s="1490"/>
      <c r="B16" s="3515" t="str">
        <f>结果表!E109</f>
        <v>——</v>
      </c>
      <c r="C16" s="1498" t="s">
        <v>922</v>
      </c>
      <c r="D16" s="1499" t="str">
        <f>结果表!H109</f>
        <v>——</v>
      </c>
      <c r="E16" s="1490"/>
    </row>
    <row r="17" spans="1:5" ht="15.75">
      <c r="A17" s="1490"/>
      <c r="B17" s="3516"/>
      <c r="C17" s="1493" t="s">
        <v>923</v>
      </c>
      <c r="D17" s="849" t="e">
        <f>NUMBERSTRING(INT(D16*10000),2)&amp;"元整"</f>
        <v>#VALUE!</v>
      </c>
      <c r="E17" s="1490"/>
    </row>
    <row r="18" spans="1:5" ht="15">
      <c r="A18" s="1490"/>
      <c r="B18" s="3517"/>
      <c r="C18" s="1494" t="s">
        <v>912</v>
      </c>
      <c r="D18" s="858" t="str">
        <f>结果表!H110</f>
        <v>——</v>
      </c>
      <c r="E18" s="1490"/>
    </row>
    <row r="19" spans="1:5" ht="15.75">
      <c r="A19" s="1490"/>
      <c r="B19" s="3508" t="str">
        <f>结果表!E111</f>
        <v>——</v>
      </c>
      <c r="C19" s="1498" t="s">
        <v>910</v>
      </c>
      <c r="D19" s="850" t="str">
        <f>结果表!H111</f>
        <v>——</v>
      </c>
      <c r="E19" s="1490"/>
    </row>
    <row r="20" spans="1:5" ht="15.75">
      <c r="A20" s="1490"/>
      <c r="B20" s="3509"/>
      <c r="C20" s="1493" t="s">
        <v>923</v>
      </c>
      <c r="D20" s="849" t="e">
        <f>NUMBERSTRING(INT(D19*10000),2)&amp;"元整"</f>
        <v>#VALUE!</v>
      </c>
      <c r="E20" s="1490"/>
    </row>
    <row r="21" spans="1:5" ht="15.75" thickBot="1">
      <c r="A21" s="1490"/>
      <c r="B21" s="351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28986</v>
      </c>
      <c r="C2" s="2" t="s">
        <v>106</v>
      </c>
      <c r="D2" s="198"/>
      <c r="E2" s="198"/>
      <c r="F2" s="198"/>
      <c r="G2" s="198"/>
    </row>
    <row r="3" spans="1:7" s="199" customFormat="1" ht="18" customHeight="1" thickBot="1">
      <c r="A3" s="202" t="s">
        <v>58</v>
      </c>
      <c r="B3" s="203">
        <f ca="1">ROUND(B2*10000/'数据-汇总表'!E3,0)</f>
        <v>1663854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150</v>
      </c>
      <c r="F9" s="220"/>
      <c r="G9" s="225"/>
    </row>
    <row r="10" spans="1:7" s="213" customFormat="1" ht="13.5" customHeight="1">
      <c r="A10" s="778" t="s">
        <v>356</v>
      </c>
      <c r="B10" s="223" t="s">
        <v>67</v>
      </c>
      <c r="C10" s="224">
        <f>ROUND(D10*E10/10000,0)</f>
        <v>3</v>
      </c>
      <c r="D10" s="844">
        <f>'数据-汇总表'!E6</f>
        <v>174.21</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v>
      </c>
      <c r="D19" s="848">
        <f>'数据-汇总表'!E3</f>
        <v>174.21</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1461</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4205</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4205</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28920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68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61</v>
      </c>
      <c r="D34" s="216"/>
      <c r="E34" s="219"/>
      <c r="F34" s="256">
        <f>IF('数据-取费表'!B24=0,1,'数据-取费表'!N16)</f>
        <v>1</v>
      </c>
      <c r="G34" s="218" t="s">
        <v>89</v>
      </c>
    </row>
    <row r="35" spans="1:7" ht="13.5" customHeight="1">
      <c r="A35" s="779" t="s">
        <v>351</v>
      </c>
      <c r="B35" s="214" t="s">
        <v>33</v>
      </c>
      <c r="C35" s="219">
        <f>ROUND(C34*F35,0)</f>
        <v>3</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v>
      </c>
      <c r="D37" s="216">
        <f>'数据-汇总表'!E3</f>
        <v>174.21</v>
      </c>
      <c r="E37" s="248">
        <f>'数据-取费表'!B35</f>
        <v>200</v>
      </c>
      <c r="F37" s="258"/>
      <c r="G37" s="260" t="s">
        <v>92</v>
      </c>
    </row>
    <row r="38" spans="1:7" ht="13.5" customHeight="1">
      <c r="A38" s="779" t="s">
        <v>354</v>
      </c>
      <c r="B38" s="214" t="s">
        <v>36</v>
      </c>
      <c r="C38" s="219">
        <f>ROUND(C34*F38,0)</f>
        <v>1</v>
      </c>
      <c r="D38" s="219"/>
      <c r="E38" s="219"/>
      <c r="F38" s="258">
        <f>'数据-取费表'!B36</f>
        <v>1.4999999999999999E-2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94" t="s">
        <v>94</v>
      </c>
    </row>
    <row r="43" spans="1:7" ht="13.5" customHeight="1">
      <c r="A43" s="779" t="s">
        <v>347</v>
      </c>
      <c r="B43" s="214" t="s">
        <v>426</v>
      </c>
      <c r="C43" s="237">
        <f ca="1">ROUND(IF('数据-取费表'!B22&lt;=1,C39*F22*'数据-取费表'!B21/2,C39*(POWER((1+F22),'数据-取费表'!B21/2)-1)),0)</f>
        <v>0</v>
      </c>
      <c r="D43" s="237"/>
      <c r="E43" s="237"/>
      <c r="F43" s="238"/>
      <c r="G43" s="3695"/>
    </row>
    <row r="44" spans="1:7" ht="13.5" customHeight="1">
      <c r="A44" s="779" t="s">
        <v>348</v>
      </c>
      <c r="B44" s="214" t="s">
        <v>428</v>
      </c>
      <c r="C44" s="237">
        <f ca="1">ROUND(IF('数据-取费表'!B22&lt;=1,C40*F22*'数据-取费表'!B21/2,C40*(POWER((1+F22),'数据-取费表'!B21/2)-1)),4)</f>
        <v>6.9999999999999999E-4</v>
      </c>
      <c r="D44" s="237"/>
      <c r="E44" s="237"/>
      <c r="F44" s="238"/>
      <c r="G44" s="3696"/>
    </row>
    <row r="45" spans="1:7" s="213" customFormat="1" ht="13.5" customHeight="1">
      <c r="A45" s="776" t="s">
        <v>341</v>
      </c>
      <c r="B45" s="243" t="s">
        <v>85</v>
      </c>
      <c r="C45" s="244">
        <f>C46</f>
        <v>14</v>
      </c>
      <c r="D45" s="234">
        <f>C47</f>
        <v>4.0000000000000001E-3</v>
      </c>
      <c r="E45" s="235" t="s">
        <v>102</v>
      </c>
      <c r="F45" s="245"/>
      <c r="G45" s="246" t="s">
        <v>434</v>
      </c>
    </row>
    <row r="46" spans="1:7" s="213" customFormat="1" ht="13.5" customHeight="1">
      <c r="A46" s="779" t="s">
        <v>349</v>
      </c>
      <c r="B46" s="247" t="s">
        <v>427</v>
      </c>
      <c r="C46" s="248">
        <f>ROUND((C33+C39)*F27,0)</f>
        <v>14</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92</v>
      </c>
      <c r="D49" s="231"/>
      <c r="E49" s="231"/>
      <c r="F49" s="263"/>
      <c r="G49" s="233" t="s">
        <v>435</v>
      </c>
    </row>
    <row r="50" spans="1:7" s="257" customFormat="1" ht="24">
      <c r="A50" s="776" t="s">
        <v>344</v>
      </c>
      <c r="B50" s="209" t="s">
        <v>97</v>
      </c>
      <c r="C50" s="231"/>
      <c r="D50" s="231"/>
      <c r="E50" s="231"/>
      <c r="F50" s="263">
        <f>IF('数据-取费表'!B24=0,'数据-取费表'!N16,1)</f>
        <v>0.72</v>
      </c>
      <c r="G50" s="246" t="s">
        <v>98</v>
      </c>
    </row>
    <row r="51" spans="1:7" ht="16.5" customHeight="1">
      <c r="A51" s="776" t="s">
        <v>345</v>
      </c>
      <c r="B51" s="209" t="s">
        <v>105</v>
      </c>
      <c r="C51" s="231">
        <f ca="1">ROUND(C49*F50,0)</f>
        <v>66</v>
      </c>
      <c r="D51" s="231"/>
      <c r="E51" s="231"/>
      <c r="F51" s="263"/>
      <c r="G51" s="233" t="s">
        <v>37</v>
      </c>
    </row>
    <row r="52" spans="1:7" s="207" customFormat="1" ht="16.5" thickBot="1">
      <c r="A52" s="264" t="s">
        <v>38</v>
      </c>
      <c r="B52" s="265"/>
      <c r="C52" s="266">
        <f ca="1">C31+C51</f>
        <v>28986</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6" t="s">
        <v>2842</v>
      </c>
      <c r="B1" s="3836"/>
      <c r="C1" s="3836"/>
      <c r="D1" s="3836"/>
      <c r="E1" s="3836"/>
      <c r="F1" s="3836"/>
      <c r="G1" s="3837"/>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34"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35"/>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8" t="s">
        <v>3184</v>
      </c>
      <c r="B1" s="3838"/>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39" t="s">
        <v>3235</v>
      </c>
      <c r="B1" s="3839"/>
      <c r="C1" s="3839"/>
      <c r="D1" s="3839"/>
      <c r="E1" s="3839"/>
      <c r="F1" s="3840"/>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7">
        <f>基准地价修正!G23</f>
        <v>45299</v>
      </c>
      <c r="B1" s="3206" t="s">
        <v>3373</v>
      </c>
      <c r="C1" s="3207"/>
      <c r="D1" s="3207"/>
      <c r="E1" s="3207"/>
      <c r="F1" s="3207"/>
      <c r="G1" s="3207"/>
      <c r="H1" s="3207"/>
      <c r="I1" s="3207"/>
      <c r="J1" s="3161"/>
      <c r="K1" s="3207" t="s">
        <v>454</v>
      </c>
      <c r="L1" s="3207"/>
      <c r="M1" s="3207"/>
      <c r="N1" s="3207"/>
      <c r="O1" s="3207"/>
      <c r="P1" s="3207"/>
      <c r="Q1" s="3161"/>
      <c r="R1" s="3841" t="s">
        <v>456</v>
      </c>
      <c r="S1" s="3842"/>
      <c r="T1" s="3842"/>
      <c r="U1" s="3842"/>
      <c r="V1" s="3842"/>
      <c r="W1" s="3842"/>
      <c r="X1" s="3161"/>
      <c r="Y1" s="3841" t="s">
        <v>457</v>
      </c>
      <c r="Z1" s="3842"/>
      <c r="AA1" s="3842"/>
      <c r="AB1" s="3842"/>
      <c r="AC1" s="3842"/>
      <c r="AD1" s="3842"/>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ROUND(AVERAGEIF(D4:D18,"&lt;&gt;0"),2)</f>
        <v>0.78</v>
      </c>
      <c r="E3" s="3147">
        <f t="shared" ref="E3:H3" si="0">ROUND(AVERAGEIF(E4:E18,"&lt;&gt;0"),2)</f>
        <v>0.41</v>
      </c>
      <c r="F3" s="3147">
        <f t="shared" si="0"/>
        <v>0.23</v>
      </c>
      <c r="G3" s="3147">
        <f t="shared" si="0"/>
        <v>0.84</v>
      </c>
      <c r="H3" s="3147">
        <f t="shared" si="0"/>
        <v>0.63</v>
      </c>
      <c r="I3" s="3147">
        <f>F3</f>
        <v>0.23</v>
      </c>
      <c r="J3" s="3148"/>
      <c r="K3" s="3149">
        <f>ROUND(AVERAGEIF(K4:K18,"&lt;&gt;0"),4)</f>
        <v>7.7999999999999996E-3</v>
      </c>
      <c r="L3" s="3150">
        <f t="shared" ref="L3:O3" si="1">ROUND(AVERAGEIF(L4:L18,"&lt;&gt;0"),4)</f>
        <v>4.1000000000000003E-3</v>
      </c>
      <c r="M3" s="3150">
        <f t="shared" si="1"/>
        <v>2.3E-3</v>
      </c>
      <c r="N3" s="3150">
        <f t="shared" si="1"/>
        <v>8.3999999999999995E-3</v>
      </c>
      <c r="O3" s="3150">
        <f t="shared" si="1"/>
        <v>6.3E-3</v>
      </c>
      <c r="P3" s="3150">
        <f>M3</f>
        <v>2.3E-3</v>
      </c>
      <c r="Q3" s="3148"/>
      <c r="R3" s="3151">
        <f>ROUND(SUMPRODUCT(PRODUCT(1+K4:K18)),4)</f>
        <v>1.0888</v>
      </c>
      <c r="S3" s="3152">
        <f t="shared" ref="S3:V3" si="2">ROUND(SUMPRODUCT(PRODUCT(1+L4:L18)),4)</f>
        <v>1.0463</v>
      </c>
      <c r="T3" s="3152">
        <f t="shared" si="2"/>
        <v>1.0257000000000001</v>
      </c>
      <c r="U3" s="3152">
        <f t="shared" si="2"/>
        <v>1.0961000000000001</v>
      </c>
      <c r="V3" s="3152">
        <f t="shared" si="2"/>
        <v>1.0713999999999999</v>
      </c>
      <c r="W3" s="3151">
        <f>T3</f>
        <v>1.0257000000000001</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3377</v>
      </c>
      <c r="B5" s="3173">
        <v>2023</v>
      </c>
      <c r="C5" s="3174">
        <v>4</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1.0783</v>
      </c>
      <c r="S5" s="3179">
        <f>ROUND(IF(项目基本情况!$B$8="出让",SUMPRODUCT(PRODUCT(1+L5:$L$18)),SUMPRODUCT(PRODUCT(1+L5:$L$17))),4)</f>
        <v>1.0447</v>
      </c>
      <c r="T5" s="3179">
        <f>ROUND(IF(项目基本情况!$B$8="出让",SUMPRODUCT(PRODUCT(1+M5:$M$18)),SUMPRODUCT(PRODUCT(1+M5:$M$17))),4)</f>
        <v>1.0282</v>
      </c>
      <c r="U5" s="3179">
        <f>ROUND(IF(项目基本情况!$B$8="出让",SUMPRODUCT(PRODUCT(1+N5:$N$18)),SUMPRODUCT(PRODUCT(1+N5:$N$17))),4)</f>
        <v>1.0841000000000001</v>
      </c>
      <c r="V5" s="3179">
        <f>ROUND(IF(项目基本情况!$B$8="出让",SUMPRODUCT(PRODUCT(1+O5:$O$18)),SUMPRODUCT(PRODUCT(1+O5:$O$17))),4)</f>
        <v>1.0674999999999999</v>
      </c>
      <c r="W5" s="3179">
        <f>T5</f>
        <v>1.0282</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4" t="s">
        <v>3378</v>
      </c>
      <c r="B6" s="3173">
        <v>2023</v>
      </c>
      <c r="C6" s="3174">
        <v>3</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1.0783</v>
      </c>
      <c r="S6" s="3179">
        <f>ROUND(IF(项目基本情况!$B$8="出让",SUMPRODUCT(PRODUCT(1+L6:$L$18)),SUMPRODUCT(PRODUCT(1+L6:$L$17))),4)</f>
        <v>1.0447</v>
      </c>
      <c r="T6" s="3179">
        <f>ROUND(IF(项目基本情况!$B$8="出让",SUMPRODUCT(PRODUCT(1+M6:$M$18)),SUMPRODUCT(PRODUCT(1+M6:$M$17))),4)</f>
        <v>1.0282</v>
      </c>
      <c r="U6" s="3179">
        <f>ROUND(IF(项目基本情况!$B$8="出让",SUMPRODUCT(PRODUCT(1+N6:$N$18)),SUMPRODUCT(PRODUCT(1+N6:$N$17))),4)</f>
        <v>1.0841000000000001</v>
      </c>
      <c r="V6" s="3179">
        <f>ROUND(IF(项目基本情况!$B$8="出让",SUMPRODUCT(PRODUCT(1+O6:$O$18)),SUMPRODUCT(PRODUCT(1+O6:$O$17))),4)</f>
        <v>1.0674999999999999</v>
      </c>
      <c r="W6" s="3179">
        <f t="shared" ref="W6" si="14">T6</f>
        <v>1.0282</v>
      </c>
      <c r="X6" s="3177"/>
      <c r="Y6" s="3180"/>
      <c r="Z6" s="3180"/>
      <c r="AA6" s="3180"/>
      <c r="AB6" s="3180"/>
      <c r="AC6" s="3180"/>
      <c r="AD6" s="3180"/>
    </row>
    <row r="7" spans="1:30" s="3181" customFormat="1" ht="12.75">
      <c r="A7" s="2204" t="s">
        <v>3379</v>
      </c>
      <c r="B7" s="3173">
        <v>2023</v>
      </c>
      <c r="C7" s="3174">
        <v>3</v>
      </c>
      <c r="D7" s="3175">
        <v>0</v>
      </c>
      <c r="E7" s="3175">
        <v>0</v>
      </c>
      <c r="F7" s="3175">
        <v>0</v>
      </c>
      <c r="G7" s="3175">
        <v>0</v>
      </c>
      <c r="H7" s="3192">
        <v>0</v>
      </c>
      <c r="I7" s="3176">
        <v>0</v>
      </c>
      <c r="J7" s="3177"/>
      <c r="K7" s="3178">
        <f t="shared" si="5"/>
        <v>0</v>
      </c>
      <c r="L7" s="3168">
        <f t="shared" si="5"/>
        <v>0</v>
      </c>
      <c r="M7" s="3168">
        <f t="shared" si="5"/>
        <v>0</v>
      </c>
      <c r="N7" s="3168">
        <f t="shared" si="5"/>
        <v>0</v>
      </c>
      <c r="O7" s="3168">
        <f t="shared" si="5"/>
        <v>0</v>
      </c>
      <c r="P7" s="3168">
        <f t="shared" ref="P7" si="15">M7</f>
        <v>0</v>
      </c>
      <c r="Q7" s="3177"/>
      <c r="R7" s="3179">
        <f>ROUND(IF(项目基本情况!$B$8="出让",SUMPRODUCT(PRODUCT(1+K7:$K$18)),SUMPRODUCT(PRODUCT(1+K7:$K$17))),4)</f>
        <v>1.0783</v>
      </c>
      <c r="S7" s="3179">
        <f>ROUND(IF(项目基本情况!$B$8="出让",SUMPRODUCT(PRODUCT(1+L7:$L$18)),SUMPRODUCT(PRODUCT(1+L7:$L$17))),4)</f>
        <v>1.0447</v>
      </c>
      <c r="T7" s="3179">
        <f>ROUND(IF(项目基本情况!$B$8="出让",SUMPRODUCT(PRODUCT(1+M7:$M$18)),SUMPRODUCT(PRODUCT(1+M7:$M$17))),4)</f>
        <v>1.0282</v>
      </c>
      <c r="U7" s="3179">
        <f>ROUND(IF(项目基本情况!$B$8="出让",SUMPRODUCT(PRODUCT(1+N7:$N$18)),SUMPRODUCT(PRODUCT(1+N7:$N$17))),4)</f>
        <v>1.0841000000000001</v>
      </c>
      <c r="V7" s="3179">
        <f>ROUND(IF(项目基本情况!$B$8="出让",SUMPRODUCT(PRODUCT(1+O7:$O$18)),SUMPRODUCT(PRODUCT(1+O7:$O$17))),4)</f>
        <v>1.0674999999999999</v>
      </c>
      <c r="W7" s="3179">
        <f t="shared" ref="W7" si="16">T7</f>
        <v>1.0282</v>
      </c>
      <c r="X7" s="3177"/>
      <c r="Y7" s="3180"/>
      <c r="Z7" s="3180"/>
      <c r="AA7" s="3180"/>
      <c r="AB7" s="3180"/>
      <c r="AC7" s="3180"/>
      <c r="AD7" s="3180"/>
    </row>
    <row r="8" spans="1:30" s="3191" customFormat="1" ht="12.75">
      <c r="A8" s="3182" t="s">
        <v>3371</v>
      </c>
      <c r="B8" s="3183">
        <v>2023</v>
      </c>
      <c r="C8" s="3184">
        <v>3</v>
      </c>
      <c r="D8" s="3185">
        <v>0.25</v>
      </c>
      <c r="E8" s="3185">
        <v>0.5</v>
      </c>
      <c r="F8" s="3185">
        <v>0.31</v>
      </c>
      <c r="G8" s="3185">
        <v>0.21</v>
      </c>
      <c r="H8" s="3186">
        <v>0.43</v>
      </c>
      <c r="I8" s="3187">
        <f t="shared" si="4"/>
        <v>0.31</v>
      </c>
      <c r="J8" s="3188"/>
      <c r="K8" s="3189">
        <f t="shared" ref="K8:K10" si="17">D8/100</f>
        <v>2.5000000000000001E-3</v>
      </c>
      <c r="L8" s="3190">
        <f t="shared" ref="L8:L10" si="18">E8/100</f>
        <v>5.0000000000000001E-3</v>
      </c>
      <c r="M8" s="3190">
        <f t="shared" ref="M8:M10" si="19">F8/100</f>
        <v>3.0999999999999999E-3</v>
      </c>
      <c r="N8" s="3190">
        <f t="shared" ref="N8:N10" si="20">G8/100</f>
        <v>2.0999999999999999E-3</v>
      </c>
      <c r="O8" s="3190">
        <f t="shared" ref="O8:O10" si="21">H8/100</f>
        <v>4.3E-3</v>
      </c>
      <c r="P8" s="3190">
        <f t="shared" ref="P8:P10" si="22">M8</f>
        <v>3.0999999999999999E-3</v>
      </c>
      <c r="Q8" s="3188"/>
      <c r="R8" s="3188">
        <f>ROUND(IF(项目基本情况!$B$8="出让",SUMPRODUCT(PRODUCT(1+K8:$K$18)),SUMPRODUCT(PRODUCT(1+K8:$K$17))),4)</f>
        <v>1.0783</v>
      </c>
      <c r="S8" s="3188">
        <f>ROUND(IF(项目基本情况!$B$8="出让",SUMPRODUCT(PRODUCT(1+L8:$L$18)),SUMPRODUCT(PRODUCT(1+L8:$L$17))),4)</f>
        <v>1.0447</v>
      </c>
      <c r="T8" s="3188">
        <f>ROUND(IF(项目基本情况!$B$8="出让",SUMPRODUCT(PRODUCT(1+M8:$M$18)),SUMPRODUCT(PRODUCT(1+M8:$M$17))),4)</f>
        <v>1.0282</v>
      </c>
      <c r="U8" s="3188">
        <f>ROUND(IF(项目基本情况!$B$8="出让",SUMPRODUCT(PRODUCT(1+N8:$N$18)),SUMPRODUCT(PRODUCT(1+N8:$N$17))),4)</f>
        <v>1.0841000000000001</v>
      </c>
      <c r="V8" s="3188">
        <f>ROUND(IF(项目基本情况!$B$8="出让",SUMPRODUCT(PRODUCT(1+O8:$O$18)),SUMPRODUCT(PRODUCT(1+O8:$O$17))),4)</f>
        <v>1.0674999999999999</v>
      </c>
      <c r="W8" s="3188">
        <f t="shared" ref="W8:W9" si="23">T8</f>
        <v>1.0282</v>
      </c>
      <c r="X8" s="3188"/>
      <c r="Y8" s="3190"/>
      <c r="Z8" s="3190"/>
      <c r="AA8" s="3190"/>
      <c r="AB8" s="3190"/>
      <c r="AC8" s="3190"/>
      <c r="AD8" s="3190"/>
    </row>
    <row r="9" spans="1:30" s="3181" customFormat="1" ht="12.75">
      <c r="A9" s="3172" t="s">
        <v>3372</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3370</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3369</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3365</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3356</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2823</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2824</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2825</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2826</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2827</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3367</v>
      </c>
    </row>
    <row r="21" spans="1:30" s="3005" customFormat="1">
      <c r="I21" s="3204" t="s">
        <v>2828</v>
      </c>
    </row>
    <row r="22" spans="1:30" s="3005" customFormat="1"/>
    <row r="23" spans="1:30" s="3205" customFormat="1" ht="12.75">
      <c r="B23" s="3206" t="s">
        <v>3374</v>
      </c>
      <c r="C23" s="3207"/>
      <c r="D23" s="3207"/>
      <c r="E23" s="3207"/>
      <c r="F23" s="3207"/>
      <c r="G23" s="3207"/>
      <c r="H23" s="3207"/>
      <c r="I23" s="3207"/>
      <c r="J23" s="3161"/>
      <c r="K23" s="3207" t="s">
        <v>2829</v>
      </c>
      <c r="L23" s="3207"/>
      <c r="M23" s="3207"/>
      <c r="N23" s="3207"/>
      <c r="O23" s="3207"/>
      <c r="P23" s="3207"/>
      <c r="Q23" s="3161"/>
      <c r="R23" s="3841" t="s">
        <v>2830</v>
      </c>
      <c r="S23" s="3842"/>
      <c r="T23" s="3842"/>
      <c r="U23" s="3842"/>
      <c r="V23" s="3842"/>
      <c r="W23" s="3842"/>
      <c r="X23" s="3161"/>
      <c r="Y23" s="3841" t="s">
        <v>2831</v>
      </c>
      <c r="Z23" s="3842"/>
      <c r="AA23" s="3842"/>
      <c r="AB23" s="3842"/>
      <c r="AC23" s="3842"/>
      <c r="AD23" s="3842"/>
    </row>
    <row r="24" spans="1:30" s="3139" customFormat="1" ht="14.25" thickBot="1">
      <c r="B24" s="3140"/>
      <c r="C24" s="3141"/>
      <c r="D24" s="3142" t="s">
        <v>2832</v>
      </c>
      <c r="E24" s="3143" t="s">
        <v>2833</v>
      </c>
      <c r="F24" s="3143" t="s">
        <v>2834</v>
      </c>
      <c r="G24" s="3143" t="s">
        <v>2835</v>
      </c>
      <c r="H24" s="3143"/>
      <c r="I24" s="3143" t="s">
        <v>2836</v>
      </c>
      <c r="J24" s="3144"/>
      <c r="K24" s="3142" t="s">
        <v>2832</v>
      </c>
      <c r="L24" s="3143" t="s">
        <v>2833</v>
      </c>
      <c r="M24" s="3143" t="s">
        <v>2834</v>
      </c>
      <c r="N24" s="3143" t="s">
        <v>2835</v>
      </c>
      <c r="O24" s="3143"/>
      <c r="P24" s="3143" t="s">
        <v>2836</v>
      </c>
      <c r="Q24" s="3144"/>
      <c r="R24" s="3142" t="s">
        <v>2832</v>
      </c>
      <c r="S24" s="3143" t="s">
        <v>2833</v>
      </c>
      <c r="T24" s="3143" t="s">
        <v>2834</v>
      </c>
      <c r="U24" s="3143" t="s">
        <v>2835</v>
      </c>
      <c r="V24" s="3143"/>
      <c r="W24" s="3143" t="s">
        <v>2836</v>
      </c>
      <c r="X24" s="3144"/>
      <c r="Y24" s="3142" t="s">
        <v>2832</v>
      </c>
      <c r="Z24" s="3143" t="s">
        <v>2833</v>
      </c>
      <c r="AA24" s="3143" t="s">
        <v>2834</v>
      </c>
      <c r="AB24" s="3143" t="s">
        <v>2835</v>
      </c>
      <c r="AC24" s="3143"/>
      <c r="AD24" s="3143" t="s">
        <v>2836</v>
      </c>
    </row>
    <row r="25" spans="1:30" s="3157" customFormat="1" ht="12.75">
      <c r="A25" s="3145" t="s">
        <v>2837</v>
      </c>
      <c r="B25" s="3146"/>
      <c r="C25" s="3147"/>
      <c r="D25" s="3147"/>
      <c r="E25" s="3147">
        <f t="shared" ref="E25:G25" si="32">ROUND(AVERAGEIF(E26:E40,"&lt;&gt;0"),2)</f>
        <v>0.42</v>
      </c>
      <c r="F25" s="3147">
        <f t="shared" si="32"/>
        <v>0.3</v>
      </c>
      <c r="G25" s="3147">
        <f t="shared" si="32"/>
        <v>0.73</v>
      </c>
      <c r="H25" s="3147"/>
      <c r="I25" s="3147">
        <f>F25</f>
        <v>0.3</v>
      </c>
      <c r="J25" s="3148"/>
      <c r="K25" s="3149"/>
      <c r="L25" s="3150">
        <f t="shared" ref="L25:N25" si="33">ROUND(AVERAGEIF(L26:L40,"&lt;&gt;0"),4)</f>
        <v>4.1999999999999997E-3</v>
      </c>
      <c r="M25" s="3150">
        <f t="shared" si="33"/>
        <v>3.0000000000000001E-3</v>
      </c>
      <c r="N25" s="3150">
        <f t="shared" si="33"/>
        <v>7.3000000000000001E-3</v>
      </c>
      <c r="O25" s="3150"/>
      <c r="P25" s="3150">
        <f>M25</f>
        <v>3.0000000000000001E-3</v>
      </c>
      <c r="Q25" s="3148"/>
      <c r="R25" s="3151"/>
      <c r="S25" s="3152">
        <f>ROUND(SUMPRODUCT(PRODUCT(1+L26:L40)),4)</f>
        <v>1.0468</v>
      </c>
      <c r="T25" s="3152">
        <f t="shared" ref="T25:U25" si="34">ROUND(SUMPRODUCT(PRODUCT(1+M26:M40)),4)</f>
        <v>1.0337000000000001</v>
      </c>
      <c r="U25" s="3152">
        <f t="shared" si="34"/>
        <v>1.0828</v>
      </c>
      <c r="V25" s="3152"/>
      <c r="W25" s="3151">
        <f>T25</f>
        <v>1.0337000000000001</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4" t="s">
        <v>3377</v>
      </c>
      <c r="B27" s="3173">
        <v>2023</v>
      </c>
      <c r="C27" s="3174">
        <v>4</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1.0431999999999999</v>
      </c>
      <c r="T27" s="3179">
        <f>ROUND(IF(项目基本情况!$B$8="出让",SUMPRODUCT(PRODUCT(1+M27:M$40)),SUMPRODUCT(PRODUCT(1+M27:M$39))),4)</f>
        <v>1.0286999999999999</v>
      </c>
      <c r="U27" s="3179">
        <f>ROUND(IF(项目基本情况!$B$8="出让",SUMPRODUCT(PRODUCT(1+N27:N$40)),SUMPRODUCT(PRODUCT(1+N27:N$39))),4)</f>
        <v>1.0723</v>
      </c>
      <c r="V27" s="3179"/>
      <c r="W27" s="3179">
        <f>T27</f>
        <v>1.0286999999999999</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4" t="s">
        <v>3378</v>
      </c>
      <c r="B28" s="3173">
        <v>2023</v>
      </c>
      <c r="C28" s="3174">
        <v>3</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1.0431999999999999</v>
      </c>
      <c r="T28" s="3179">
        <f>ROUND(IF(项目基本情况!$B$8="出让",SUMPRODUCT(PRODUCT(1+M28:M$40)),SUMPRODUCT(PRODUCT(1+M28:M$39))),4)</f>
        <v>1.0286999999999999</v>
      </c>
      <c r="U28" s="3179">
        <f>ROUND(IF(项目基本情况!$B$8="出让",SUMPRODUCT(PRODUCT(1+N28:N$40)),SUMPRODUCT(PRODUCT(1+N28:N$39))),4)</f>
        <v>1.0723</v>
      </c>
      <c r="V28" s="3179"/>
      <c r="W28" s="3179">
        <f t="shared" ref="W28" si="43">T28</f>
        <v>1.0286999999999999</v>
      </c>
      <c r="X28" s="3177"/>
      <c r="Y28" s="3180"/>
      <c r="Z28" s="3208"/>
      <c r="AA28" s="3210"/>
      <c r="AB28" s="3180"/>
      <c r="AC28" s="3209"/>
      <c r="AD28" s="3180"/>
    </row>
    <row r="29" spans="1:30" s="3181" customFormat="1" ht="12.75">
      <c r="A29" s="2204" t="s">
        <v>3379</v>
      </c>
      <c r="B29" s="3173">
        <v>2023</v>
      </c>
      <c r="C29" s="3174">
        <v>3</v>
      </c>
      <c r="D29" s="3175"/>
      <c r="E29" s="3175">
        <v>0</v>
      </c>
      <c r="F29" s="3175">
        <v>0</v>
      </c>
      <c r="G29" s="3175">
        <v>0</v>
      </c>
      <c r="H29" s="3175"/>
      <c r="I29" s="3176">
        <f t="shared" si="38"/>
        <v>0</v>
      </c>
      <c r="J29" s="3177"/>
      <c r="K29" s="3178"/>
      <c r="L29" s="3168">
        <f t="shared" si="37"/>
        <v>0</v>
      </c>
      <c r="M29" s="3168">
        <f t="shared" si="37"/>
        <v>0</v>
      </c>
      <c r="N29" s="3168">
        <f t="shared" si="37"/>
        <v>0</v>
      </c>
      <c r="O29" s="3168"/>
      <c r="P29" s="3168">
        <f t="shared" ref="P29" si="44">M29</f>
        <v>0</v>
      </c>
      <c r="Q29" s="3177"/>
      <c r="R29" s="3179"/>
      <c r="S29" s="3179">
        <f>ROUND(IF(项目基本情况!$B$8="出让",SUMPRODUCT(PRODUCT(1+L29:L$40)),SUMPRODUCT(PRODUCT(1+L29:L$39))),4)</f>
        <v>1.0431999999999999</v>
      </c>
      <c r="T29" s="3179">
        <f>ROUND(IF(项目基本情况!$B$8="出让",SUMPRODUCT(PRODUCT(1+M29:M$40)),SUMPRODUCT(PRODUCT(1+M29:M$39))),4)</f>
        <v>1.0286999999999999</v>
      </c>
      <c r="U29" s="3179">
        <f>ROUND(IF(项目基本情况!$B$8="出让",SUMPRODUCT(PRODUCT(1+N29:N$40)),SUMPRODUCT(PRODUCT(1+N29:N$39))),4)</f>
        <v>1.0723</v>
      </c>
      <c r="V29" s="3179"/>
      <c r="W29" s="3179">
        <f t="shared" ref="W29" si="45">T29</f>
        <v>1.0286999999999999</v>
      </c>
      <c r="X29" s="3177"/>
      <c r="Y29" s="3180"/>
      <c r="Z29" s="3208"/>
      <c r="AA29" s="3210"/>
      <c r="AB29" s="3180"/>
      <c r="AC29" s="3209"/>
      <c r="AD29" s="3180"/>
    </row>
    <row r="30" spans="1:30" s="3191" customFormat="1" ht="12.75">
      <c r="A30" s="3182" t="s">
        <v>3375</v>
      </c>
      <c r="B30" s="3183">
        <v>2023</v>
      </c>
      <c r="C30" s="3184">
        <v>3</v>
      </c>
      <c r="D30" s="3185"/>
      <c r="E30" s="3185">
        <v>0.35</v>
      </c>
      <c r="F30" s="3185">
        <v>0.17</v>
      </c>
      <c r="G30" s="3185">
        <v>0.52</v>
      </c>
      <c r="H30" s="3186"/>
      <c r="I30" s="3187">
        <f t="shared" si="36"/>
        <v>0.17</v>
      </c>
      <c r="J30" s="3188"/>
      <c r="K30" s="3189"/>
      <c r="L30" s="3190">
        <f t="shared" ref="L30:L32" si="46">E30/100</f>
        <v>3.4999999999999996E-3</v>
      </c>
      <c r="M30" s="3190">
        <f t="shared" ref="M30:M32" si="47">F30/100</f>
        <v>1.7000000000000001E-3</v>
      </c>
      <c r="N30" s="3190">
        <f t="shared" ref="N30:N32" si="48">G30/100</f>
        <v>5.1999999999999998E-3</v>
      </c>
      <c r="O30" s="3190"/>
      <c r="P30" s="3190">
        <f t="shared" ref="P30:P32" si="49">M30</f>
        <v>1.7000000000000001E-3</v>
      </c>
      <c r="Q30" s="3188"/>
      <c r="R30" s="3188"/>
      <c r="S30" s="3188">
        <f>ROUND(IF(项目基本情况!$B$8="出让",SUMPRODUCT(PRODUCT(1+L30:L$40)),SUMPRODUCT(PRODUCT(1+L30:L$39))),4)</f>
        <v>1.0431999999999999</v>
      </c>
      <c r="T30" s="3188">
        <f>ROUND(IF(项目基本情况!$B$8="出让",SUMPRODUCT(PRODUCT(1+M30:M$40)),SUMPRODUCT(PRODUCT(1+M30:M$39))),4)</f>
        <v>1.0286999999999999</v>
      </c>
      <c r="U30" s="3188">
        <f>ROUND(IF(项目基本情况!$B$8="出让",SUMPRODUCT(PRODUCT(1+N30:N$40)),SUMPRODUCT(PRODUCT(1+N30:N$39))),4)</f>
        <v>1.0723</v>
      </c>
      <c r="V30" s="3188"/>
      <c r="W30" s="3188">
        <f t="shared" ref="W30:W32" si="50">T30</f>
        <v>1.0286999999999999</v>
      </c>
      <c r="X30" s="3188"/>
      <c r="Y30" s="3190"/>
      <c r="Z30" s="3211"/>
      <c r="AA30" s="3212"/>
      <c r="AB30" s="3190"/>
      <c r="AC30" s="3213"/>
      <c r="AD30" s="3190"/>
    </row>
    <row r="31" spans="1:30" s="3181" customFormat="1" ht="12.75">
      <c r="A31" s="3172" t="s">
        <v>3376</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3370</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3369</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3366</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3356</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2838</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2839</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2840</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2841</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2827</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48" t="s">
        <v>452</v>
      </c>
      <c r="C1" s="3848"/>
      <c r="D1" s="3848"/>
      <c r="E1" s="3848"/>
      <c r="F1" s="3848"/>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4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4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45299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2" t="s">
        <v>2313</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3409</v>
      </c>
      <c r="D1" s="1361" t="s">
        <v>43</v>
      </c>
      <c r="E1" s="1362" t="s">
        <v>678</v>
      </c>
      <c r="F1" s="1061" t="e">
        <f ca="1">J53</f>
        <v>#N/A</v>
      </c>
      <c r="G1" s="1377"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t="e">
        <f ca="1">C6+C10+C12</f>
        <v>#N/A</v>
      </c>
      <c r="D5" s="1363" t="s">
        <v>693</v>
      </c>
      <c r="E5" s="1070"/>
      <c r="F5" s="1071"/>
      <c r="G5" s="1383"/>
      <c r="H5" s="298">
        <v>1</v>
      </c>
      <c r="I5" s="299" t="s">
        <v>692</v>
      </c>
      <c r="J5" s="1069" t="e">
        <f ca="1">J6+J10+J12</f>
        <v>#N/A</v>
      </c>
      <c r="K5" s="1363" t="s">
        <v>693</v>
      </c>
      <c r="L5" s="1070"/>
      <c r="M5" s="1071"/>
    </row>
    <row r="6" spans="1:37" ht="18" customHeight="1">
      <c r="A6" s="1068" t="s">
        <v>398</v>
      </c>
      <c r="B6" s="3762" t="s">
        <v>694</v>
      </c>
      <c r="C6" s="1073" t="e">
        <f ca="1">ROUND(F6*F8*F7*(1-F9)/10000,0)</f>
        <v>#N/A</v>
      </c>
      <c r="D6" s="154" t="s">
        <v>2109</v>
      </c>
      <c r="E6" s="301" t="s">
        <v>696</v>
      </c>
      <c r="F6" s="302" t="e">
        <f ca="1">INDIRECT("'数据-取费表'!u"&amp;$G$1)</f>
        <v>#N/A</v>
      </c>
      <c r="G6" s="1383"/>
      <c r="H6" s="1068" t="s">
        <v>398</v>
      </c>
      <c r="I6" s="3762" t="s">
        <v>694</v>
      </c>
      <c r="J6" s="300" t="e">
        <f ca="1">ROUND(M6*M8*M7*(1-M9)/10000,0)</f>
        <v>#N/A</v>
      </c>
      <c r="K6" s="154" t="s">
        <v>2108</v>
      </c>
      <c r="L6" s="301" t="s">
        <v>696</v>
      </c>
      <c r="M6" s="302" t="e">
        <f ca="1">INDIRECT("'数据-取费表'!z"&amp;$G$1)</f>
        <v>#N/A</v>
      </c>
    </row>
    <row r="7" spans="1:37" ht="18" customHeight="1">
      <c r="A7" s="1072"/>
      <c r="B7" s="3763"/>
      <c r="C7" s="1074"/>
      <c r="D7" s="306"/>
      <c r="E7" s="3464" t="s">
        <v>697</v>
      </c>
      <c r="F7" s="302" t="e">
        <f ca="1">IF(INDIRECT("'数据-取费表'!ah"&amp;$G$1)="",INDIRECT("'数据-取费表'!k"&amp;$G$1),INDIRECT("'数据-取费表'!ah"&amp;$G$1))</f>
        <v>#N/A</v>
      </c>
      <c r="G7" s="1383"/>
      <c r="H7" s="303"/>
      <c r="I7" s="3763"/>
      <c r="J7" s="305"/>
      <c r="K7" s="306"/>
      <c r="L7" s="301" t="s">
        <v>697</v>
      </c>
      <c r="M7" s="302" t="e">
        <f ca="1">F7</f>
        <v>#N/A</v>
      </c>
    </row>
    <row r="8" spans="1:37" ht="18" customHeight="1">
      <c r="A8" s="303"/>
      <c r="B8" s="3763"/>
      <c r="C8" s="305"/>
      <c r="D8" s="306"/>
      <c r="E8" s="301" t="s">
        <v>698</v>
      </c>
      <c r="F8" s="302" t="e">
        <f ca="1">INDIRECT("'数据-取费表'!ai"&amp;$G$1)</f>
        <v>#N/A</v>
      </c>
      <c r="G8" s="1383"/>
      <c r="H8" s="303"/>
      <c r="I8" s="3763"/>
      <c r="J8" s="305"/>
      <c r="K8" s="306"/>
      <c r="L8" s="301" t="s">
        <v>698</v>
      </c>
      <c r="M8" s="302" t="e">
        <f ca="1">INDIRECT("'数据-取费表'!ai"&amp;$G$1)</f>
        <v>#N/A</v>
      </c>
    </row>
    <row r="9" spans="1:37" ht="18" customHeight="1">
      <c r="A9" s="303"/>
      <c r="B9" s="3764"/>
      <c r="C9" s="305"/>
      <c r="D9" s="306"/>
      <c r="E9" s="301" t="s">
        <v>699</v>
      </c>
      <c r="F9" s="311" t="e">
        <f ca="1">INDIRECT("'数据-取费表'!w"&amp;$G$1)</f>
        <v>#N/A</v>
      </c>
      <c r="G9" s="1383"/>
      <c r="H9" s="303"/>
      <c r="I9" s="3764"/>
      <c r="J9" s="305"/>
      <c r="K9" s="306"/>
      <c r="L9" s="312" t="s">
        <v>699</v>
      </c>
      <c r="M9" s="313" t="e">
        <f ca="1">INDIRECT("'数据-取费表'!ab"&amp;$G$1)</f>
        <v>#N/A</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3461" t="s">
        <v>705</v>
      </c>
      <c r="E13" s="3461"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INDIRECT("'数据-取费表'!m"&amp;$G$1)+INDIRECT("'数据-取费表'!t"&amp;$G$1)</f>
        <v>#N/A</v>
      </c>
      <c r="D14" s="3467" t="s">
        <v>708</v>
      </c>
      <c r="E14" s="3466"/>
      <c r="F14" s="318"/>
      <c r="G14" s="1383"/>
      <c r="H14" s="981" t="s">
        <v>398</v>
      </c>
      <c r="I14" s="301" t="s">
        <v>709</v>
      </c>
      <c r="J14" s="21" t="e">
        <f ca="1">C29</f>
        <v>#N/A</v>
      </c>
      <c r="K14" s="3463"/>
      <c r="L14" s="806"/>
      <c r="M14" s="807"/>
    </row>
    <row r="15" spans="1:37" s="1396" customFormat="1" ht="18" customHeight="1" thickBot="1">
      <c r="A15" s="981" t="s">
        <v>399</v>
      </c>
      <c r="B15" s="301" t="s">
        <v>710</v>
      </c>
      <c r="C15" s="21" t="e">
        <f ca="1">ROUND(C14*F15,0)</f>
        <v>#N/A</v>
      </c>
      <c r="D15" s="3462" t="s">
        <v>711</v>
      </c>
      <c r="E15" s="3462" t="s">
        <v>712</v>
      </c>
      <c r="F15" s="320">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ROUND(INDIRECT("'数据-取费表'!m"&amp;$G$1)*F16,0)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3469"/>
      <c r="M16" s="1071"/>
    </row>
    <row r="17" spans="1:37" s="1396" customFormat="1" ht="18" customHeight="1">
      <c r="A17" s="981" t="s">
        <v>681</v>
      </c>
      <c r="B17" s="301" t="s">
        <v>716</v>
      </c>
      <c r="C17" s="21" t="e">
        <f ca="1">ROUND(F17*(F43+INDIRECT("'数据-取费表'!S"&amp;$G$1))/10000,0)</f>
        <v>#N/A</v>
      </c>
      <c r="D17" s="301" t="s">
        <v>717</v>
      </c>
      <c r="E17" s="301" t="s">
        <v>718</v>
      </c>
      <c r="F17" s="23">
        <f>'数据-取费表'!B35</f>
        <v>200</v>
      </c>
      <c r="G17" s="1395"/>
      <c r="H17" s="981" t="s">
        <v>398</v>
      </c>
      <c r="I17" s="301" t="s">
        <v>719</v>
      </c>
      <c r="J17" s="2315" t="e">
        <f ca="1">ROUND(IF(AND(项目基本情况!B11="自然人",项目基本情况!B10="北京市"),J6*M17/(1+'数据-取费表'!C42),J18+J19+J20),2)</f>
        <v>#N/A</v>
      </c>
      <c r="K17" s="3467" t="s">
        <v>720</v>
      </c>
      <c r="L17" s="3468"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1.4999999999999999E-2</v>
      </c>
      <c r="G18" s="1395"/>
      <c r="H18" s="981" t="s">
        <v>397</v>
      </c>
      <c r="I18" s="301" t="s">
        <v>723</v>
      </c>
      <c r="J18" s="21" t="e">
        <f ca="1">ROUND(J6*M18/(1+'数据-取费表'!C42),2)</f>
        <v>#N/A</v>
      </c>
      <c r="K18" s="3468"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3471"/>
      <c r="F19" s="23"/>
      <c r="G19" s="1383"/>
      <c r="H19" s="981" t="s">
        <v>399</v>
      </c>
      <c r="I19" s="301" t="s">
        <v>727</v>
      </c>
      <c r="J19" s="21" t="e">
        <f ca="1">IF(K19="按租金收入计税",ROUND(J6*M19/(1+'数据-取费表'!C42),2),ROUND(C29*M19*0.7,2))</f>
        <v>#N/A</v>
      </c>
      <c r="K19" s="1369" t="s">
        <v>3337</v>
      </c>
      <c r="L19" s="301" t="s">
        <v>712</v>
      </c>
      <c r="M19" s="321">
        <f>IF(K19="按租金收入计税",'数据-取费表'!B51,'数据-取费表'!B50)</f>
        <v>0.12</v>
      </c>
    </row>
    <row r="20" spans="1:37" s="1396" customFormat="1" ht="18" customHeight="1">
      <c r="A20" s="981" t="s">
        <v>402</v>
      </c>
      <c r="B20" s="301" t="s">
        <v>728</v>
      </c>
      <c r="C20" s="21" t="e">
        <f ca="1">ROUND(C19*F20,0)</f>
        <v>#N/A</v>
      </c>
      <c r="D20" s="2426" t="s">
        <v>729</v>
      </c>
      <c r="E20" s="301" t="s">
        <v>712</v>
      </c>
      <c r="F20" s="321">
        <f>'数据-取费表'!B37</f>
        <v>0.02</v>
      </c>
      <c r="G20" s="1395"/>
      <c r="H20" s="981" t="s">
        <v>680</v>
      </c>
      <c r="I20" s="154" t="s">
        <v>730</v>
      </c>
      <c r="J20" s="22" t="e">
        <f ca="1">ROUND(M20*M21/10000,2)</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6"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71"/>
      <c r="F22" s="23"/>
      <c r="G22" s="1383"/>
      <c r="H22" s="981" t="s">
        <v>402</v>
      </c>
      <c r="I22" s="301" t="s">
        <v>738</v>
      </c>
      <c r="J22" s="21" t="e">
        <f ca="1">ROUND(J14*M22,2)</f>
        <v>#N/A</v>
      </c>
      <c r="K22" s="3468"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t="e">
        <f ca="1">ROUND(J13*M23,2)</f>
        <v>#N/A</v>
      </c>
      <c r="K23" s="3468"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71"/>
      <c r="F25" s="23"/>
      <c r="G25" s="1383"/>
      <c r="H25" s="1078" t="s">
        <v>394</v>
      </c>
      <c r="I25" s="1093" t="s">
        <v>752</v>
      </c>
      <c r="J25" s="309" t="e">
        <f ca="1">J5-J16</f>
        <v>#N/A</v>
      </c>
      <c r="K25" s="1094" t="s">
        <v>753</v>
      </c>
      <c r="L25" s="1095"/>
      <c r="M25" s="1096"/>
    </row>
    <row r="26" spans="1:37">
      <c r="A26" s="981" t="s">
        <v>397</v>
      </c>
      <c r="B26" s="301" t="s">
        <v>754</v>
      </c>
      <c r="C26" s="21" t="e">
        <f ca="1">ROUND((C19+C20)*F26,0)</f>
        <v>#N/A</v>
      </c>
      <c r="D26" s="2426"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2426" t="s">
        <v>761</v>
      </c>
      <c r="E27" s="3462"/>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2426"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3469"/>
      <c r="F30" s="1071"/>
      <c r="G30" s="1383"/>
      <c r="H30" s="2694"/>
      <c r="I30" s="1397"/>
      <c r="J30" s="1398"/>
      <c r="K30" s="2473"/>
      <c r="L30" s="2695"/>
      <c r="M30" s="2696"/>
    </row>
    <row r="31" spans="1:37" ht="18" customHeight="1">
      <c r="A31" s="981" t="s">
        <v>398</v>
      </c>
      <c r="B31" s="301" t="s">
        <v>719</v>
      </c>
      <c r="C31" s="2315" t="e">
        <f ca="1">ROUND(IF(AND(项目基本情况!B11="自然人",项目基本情况!B10="北京市"),C6*F31/(1+'数据-取费表'!C42),C32+C33+C34),2)</f>
        <v>#N/A</v>
      </c>
      <c r="D31" s="3467" t="s">
        <v>720</v>
      </c>
      <c r="E31" s="3468" t="s">
        <v>770</v>
      </c>
      <c r="F31" s="2314" t="e">
        <f ca="1">IF(项目基本情况!B11="企业","——",IF(M47="住宅",IF(F6*F7*F8/12/(1+'数据-取费表'!F30)&gt;100000,4%,2.5%),IF(F6*F7*F8/12/(1+'数据-取费表'!F30)&gt;100000,12%,7%)))</f>
        <v>#N/A</v>
      </c>
      <c r="G31" s="1383"/>
      <c r="H31" s="2805" t="s">
        <v>2310</v>
      </c>
      <c r="I31" s="1397"/>
      <c r="J31" s="1398"/>
      <c r="K31" s="2473"/>
      <c r="L31" s="2695"/>
      <c r="M31" s="2696"/>
    </row>
    <row r="32" spans="1:37" ht="18" customHeight="1">
      <c r="A32" s="981" t="s">
        <v>397</v>
      </c>
      <c r="B32" s="301" t="s">
        <v>723</v>
      </c>
      <c r="C32" s="21" t="str">
        <f>IF(项目基本情况!B11="自然人","——",ROUND(C6*F32/(1+'数据-取费表'!C42),2))</f>
        <v>——</v>
      </c>
      <c r="D32" s="3468" t="s">
        <v>724</v>
      </c>
      <c r="E32" s="301" t="s">
        <v>712</v>
      </c>
      <c r="F32" s="330">
        <f>'数据-取费表'!B41</f>
        <v>5.5000000000000007E-2</v>
      </c>
      <c r="G32" s="1383"/>
      <c r="H32" s="2694"/>
      <c r="I32" s="1397"/>
      <c r="J32" s="1398"/>
      <c r="K32" s="2473"/>
      <c r="L32" s="2695"/>
      <c r="M32" s="2696"/>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3337</v>
      </c>
      <c r="E33" s="301" t="s">
        <v>712</v>
      </c>
      <c r="F33" s="321">
        <f>IF(D33="按票据","——",IF(D33="按租金收入计税",'数据-取费表'!B51,'数据-取费表'!B50))</f>
        <v>0.12</v>
      </c>
      <c r="G33" s="1383"/>
      <c r="H33" s="2697"/>
      <c r="I33" s="1397"/>
      <c r="J33" s="1398"/>
      <c r="K33" s="2698"/>
      <c r="L33" s="2697"/>
      <c r="M33" s="2697"/>
    </row>
    <row r="34" spans="1:18" ht="18" customHeight="1">
      <c r="A34" s="1068" t="s">
        <v>680</v>
      </c>
      <c r="B34" s="154" t="s">
        <v>730</v>
      </c>
      <c r="C34" s="22" t="str">
        <f>IF(项目基本情况!B11="自然人","——",ROUND(F34*F35/10000,2))</f>
        <v>——</v>
      </c>
      <c r="D34" s="323" t="s">
        <v>731</v>
      </c>
      <c r="E34" s="301" t="s">
        <v>732</v>
      </c>
      <c r="F34" s="324">
        <f>'数据-取费表'!B52</f>
        <v>1.5</v>
      </c>
      <c r="G34" s="1383"/>
      <c r="H34" s="2694"/>
      <c r="I34" s="1397"/>
      <c r="J34" s="1398"/>
      <c r="K34" s="2699"/>
      <c r="L34" s="2700"/>
      <c r="M34" s="2700"/>
    </row>
    <row r="35" spans="1:18" ht="18" customHeight="1">
      <c r="A35" s="1102"/>
      <c r="B35" s="1100"/>
      <c r="C35" s="26"/>
      <c r="D35" s="326"/>
      <c r="E35" s="301" t="s">
        <v>736</v>
      </c>
      <c r="F35" s="302" t="e">
        <f ca="1">INDIRECT("'数据-取费表'!r"&amp;$G$1)</f>
        <v>#N/A</v>
      </c>
      <c r="G35" s="1383"/>
      <c r="H35" s="2694"/>
      <c r="I35" s="1397"/>
      <c r="J35" s="1398"/>
      <c r="K35" s="2698"/>
      <c r="L35" s="2697"/>
      <c r="M35" s="2697"/>
    </row>
    <row r="36" spans="1:18" ht="18" customHeight="1">
      <c r="A36" s="1101" t="s">
        <v>402</v>
      </c>
      <c r="B36" s="301" t="s">
        <v>738</v>
      </c>
      <c r="C36" s="21" t="e">
        <f ca="1">ROUND(C29*F36,2)</f>
        <v>#N/A</v>
      </c>
      <c r="D36" s="3468" t="s">
        <v>771</v>
      </c>
      <c r="E36" s="301" t="s">
        <v>712</v>
      </c>
      <c r="F36" s="327" t="e">
        <f ca="1">INDIRECT("'数据-取费表'!Ak"&amp;$G$1)</f>
        <v>#N/A</v>
      </c>
      <c r="G36" s="1383"/>
      <c r="H36" s="2697"/>
      <c r="I36" s="1397"/>
      <c r="J36" s="1398"/>
      <c r="K36" s="2542"/>
      <c r="L36" s="2697"/>
      <c r="M36" s="2697"/>
    </row>
    <row r="37" spans="1:18" ht="18" customHeight="1">
      <c r="A37" s="981" t="s">
        <v>437</v>
      </c>
      <c r="B37" s="301" t="s">
        <v>742</v>
      </c>
      <c r="C37" s="21" t="e">
        <f ca="1">ROUND(C13*F37,2)</f>
        <v>#N/A</v>
      </c>
      <c r="D37" s="3468" t="s">
        <v>743</v>
      </c>
      <c r="E37" s="301" t="s">
        <v>744</v>
      </c>
      <c r="F37" s="329" t="e">
        <f ca="1">INDIRECT("'数据-取费表'!Al"&amp;$G$1)</f>
        <v>#N/A</v>
      </c>
      <c r="G37" s="1383"/>
      <c r="H37" s="2697"/>
      <c r="I37" s="1397"/>
      <c r="J37" s="1398"/>
      <c r="K37" s="2542"/>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3"/>
      <c r="H38" s="2697"/>
      <c r="I38" s="1397"/>
      <c r="J38" s="1398"/>
      <c r="K38" s="2701"/>
      <c r="L38" s="2697"/>
      <c r="M38" s="2697"/>
    </row>
    <row r="39" spans="1:18" ht="24.6" customHeight="1" thickTop="1">
      <c r="A39" s="1078" t="s">
        <v>394</v>
      </c>
      <c r="B39" s="1093" t="s">
        <v>772</v>
      </c>
      <c r="C39" s="309" t="e">
        <f ca="1">C5-C30</f>
        <v>#N/A</v>
      </c>
      <c r="D39" s="1094" t="s">
        <v>773</v>
      </c>
      <c r="E39" s="1095"/>
      <c r="F39" s="1096"/>
      <c r="G39" s="1383"/>
      <c r="H39" s="2697"/>
      <c r="I39" s="1397"/>
      <c r="J39" s="1398"/>
      <c r="K39" s="2701"/>
      <c r="L39" s="2697"/>
      <c r="M39" s="2697"/>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1"/>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2"/>
      <c r="L41" s="1190"/>
      <c r="M41" s="1190"/>
    </row>
    <row r="42" spans="1:18" ht="18" customHeight="1">
      <c r="A42" s="307"/>
      <c r="B42" s="308"/>
      <c r="C42" s="309"/>
      <c r="D42" s="326"/>
      <c r="E42" s="301" t="s">
        <v>766</v>
      </c>
      <c r="F42" s="311" t="e">
        <f ca="1">INDIRECT("'数据-取费表'!v"&amp;$G$1)</f>
        <v>#N/A</v>
      </c>
      <c r="G42" s="1383"/>
      <c r="H42" s="1190"/>
      <c r="I42" s="1397"/>
      <c r="J42" s="1398"/>
      <c r="K42" s="2542"/>
      <c r="L42" s="1190"/>
      <c r="M42" s="1190"/>
    </row>
    <row r="43" spans="1:18" ht="18" customHeight="1" thickBot="1">
      <c r="A43" s="333" t="s">
        <v>396</v>
      </c>
      <c r="B43" s="334" t="s">
        <v>776</v>
      </c>
      <c r="C43" s="335" t="e">
        <f ca="1">ROUND(C40*10000/F43,0)</f>
        <v>#N/A</v>
      </c>
      <c r="D43" s="336" t="s">
        <v>777</v>
      </c>
      <c r="E43" s="337" t="s">
        <v>778</v>
      </c>
      <c r="F43" s="338" t="e">
        <f ca="1">INDIRECT("'数据-取费表'!k"&amp;$G$1)</f>
        <v>#N/A</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3470" t="e">
        <f ca="1">C49+C53+C55</f>
        <v>#N/A</v>
      </c>
      <c r="D48" s="1111"/>
      <c r="E48" s="1112"/>
      <c r="F48" s="961"/>
      <c r="G48" s="721"/>
      <c r="H48" s="722"/>
      <c r="I48" s="1420" t="s">
        <v>819</v>
      </c>
      <c r="J48" s="1421" t="s">
        <v>3408</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2108</v>
      </c>
      <c r="E49" s="1371" t="s">
        <v>780</v>
      </c>
      <c r="F49" s="1059"/>
      <c r="G49" s="1424"/>
      <c r="H49" s="722"/>
      <c r="I49" s="1420" t="s">
        <v>823</v>
      </c>
      <c r="J49" s="1425">
        <f>'数据-取费表'!N18</f>
        <v>2005</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31</v>
      </c>
      <c r="K51" s="1433" t="s">
        <v>830</v>
      </c>
      <c r="L51" s="1434" t="e">
        <f ca="1">ROUND(-PV(INDIRECT("'数据-取费表'!h"&amp;$G$1),J51,(C39-C13*C76),0),0)</f>
        <v>#N/A</v>
      </c>
      <c r="M51" s="1435"/>
      <c r="O51" s="1427" t="s">
        <v>407</v>
      </c>
      <c r="P51" s="1418" t="s">
        <v>831</v>
      </c>
      <c r="Q51" s="1430">
        <f>J52</f>
        <v>5.0000000000000001E-3</v>
      </c>
      <c r="R51" s="1419"/>
    </row>
    <row r="52" spans="1:18" s="1383" customFormat="1" ht="13.5" thickBot="1">
      <c r="A52" s="976"/>
      <c r="B52" s="978"/>
      <c r="C52" s="979"/>
      <c r="D52" s="952"/>
      <c r="E52" s="980" t="s">
        <v>699</v>
      </c>
      <c r="F52" s="1053"/>
      <c r="I52" s="1436" t="s">
        <v>832</v>
      </c>
      <c r="J52" s="1437">
        <f>'数据-取费表'!J7+0.5%</f>
        <v>5.0000000000000001E-3</v>
      </c>
      <c r="K52" s="1436" t="s">
        <v>833</v>
      </c>
      <c r="L52" s="1437"/>
      <c r="O52" s="1427" t="s">
        <v>408</v>
      </c>
      <c r="P52" s="1418" t="s">
        <v>834</v>
      </c>
      <c r="Q52" s="1419" t="e">
        <f ca="1">J53</f>
        <v>#N/A</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t="e">
        <f ca="1">IF(M47="住宅",IF(D1="——",MAX(J51,L48),MAX(J51,L48-'数据-取费表'!B24)),IF(D1="——",MIN(J51,L48),MIN(J51,L48-'数据-取费表'!B24)))</f>
        <v>#N/A</v>
      </c>
      <c r="K53" s="3765" t="s">
        <v>837</v>
      </c>
      <c r="L53" s="3766"/>
      <c r="O53" s="1417" t="s">
        <v>409</v>
      </c>
      <c r="P53" s="1418" t="s">
        <v>838</v>
      </c>
      <c r="Q53" s="1419" t="e">
        <f ca="1">Q47+Q48</f>
        <v>#N/A</v>
      </c>
      <c r="R53" s="1419" t="s">
        <v>410</v>
      </c>
    </row>
    <row r="54" spans="1:18" s="1383" customFormat="1" ht="13.5" thickBot="1">
      <c r="A54" s="1152"/>
      <c r="B54" s="1366" t="s">
        <v>679</v>
      </c>
      <c r="C54" s="958"/>
      <c r="D54" s="1365"/>
      <c r="E54" s="3465"/>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3465"/>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1" t="e">
        <f ca="1">C13</f>
        <v>#N/A</v>
      </c>
      <c r="D56" s="1446"/>
      <c r="E56" s="1447"/>
      <c r="F56" s="1439"/>
      <c r="I56" s="1448" t="s">
        <v>842</v>
      </c>
      <c r="J56" s="1449" t="s">
        <v>3384</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3337</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ROUND(C68*10000/F71,0)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workbookViewId="0">
      <selection activeCell="M11" sqref="M11"/>
    </sheetView>
  </sheetViews>
  <sheetFormatPr defaultRowHeight="13.5"/>
  <sheetData>
    <row r="3" spans="1:1">
      <c r="A3" s="3500" t="s">
        <v>3506</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
  <sheetViews>
    <sheetView workbookViewId="0">
      <selection activeCell="J5" sqref="J5"/>
    </sheetView>
  </sheetViews>
  <sheetFormatPr defaultRowHeight="13.5"/>
  <cols>
    <col min="8" max="8" width="17.375" customWidth="1"/>
  </cols>
  <sheetData>
    <row r="3" spans="2:10">
      <c r="B3" s="3500" t="s">
        <v>3527</v>
      </c>
      <c r="I3">
        <f>180000/300/365</f>
        <v>1.6438356164383561</v>
      </c>
    </row>
    <row r="4" spans="2:10">
      <c r="B4" s="3500" t="s">
        <v>3528</v>
      </c>
      <c r="I4">
        <f>140000/174/365</f>
        <v>2.2043772634230829</v>
      </c>
      <c r="J4">
        <f>150000/174/365</f>
        <v>2.3618327822390177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5" t="str">
        <f>IF(项目基本情况!B9="房地产市场价值","估价结果一览表","结果表-2")</f>
        <v>结果表-2</v>
      </c>
      <c r="B1" s="3525"/>
      <c r="C1" s="3525"/>
      <c r="D1" s="3525"/>
      <c r="E1" s="3525"/>
      <c r="F1" s="3525"/>
      <c r="G1" s="3525"/>
      <c r="H1" s="3525"/>
      <c r="I1" s="3525"/>
    </row>
    <row r="2" spans="1:9" ht="30" customHeight="1" thickTop="1">
      <c r="A2" s="3526" t="s">
        <v>928</v>
      </c>
      <c r="B2" s="3526" t="s">
        <v>929</v>
      </c>
      <c r="C2" s="3526" t="s">
        <v>930</v>
      </c>
      <c r="D2" s="3526" t="str">
        <f>结果表!D116</f>
        <v>出让国有建设用地使用权价值</v>
      </c>
      <c r="E2" s="3526"/>
      <c r="F2" s="3526" t="str">
        <f>结果表!F116</f>
        <v>在建建筑物价值</v>
      </c>
      <c r="G2" s="3526"/>
      <c r="H2" s="3526" t="str">
        <f>IF(项目基本情况!B9="房地产市场价值","房地产市场价值","房地产价值")</f>
        <v>房地产价值</v>
      </c>
      <c r="I2" s="3526"/>
    </row>
    <row r="3" spans="1:9" ht="15">
      <c r="A3" s="3521"/>
      <c r="B3" s="3521"/>
      <c r="C3" s="3521"/>
      <c r="D3" s="853" t="s">
        <v>925</v>
      </c>
      <c r="E3" s="853" t="s">
        <v>931</v>
      </c>
      <c r="F3" s="853" t="s">
        <v>925</v>
      </c>
      <c r="G3" s="853" t="s">
        <v>926</v>
      </c>
      <c r="H3" s="853" t="s">
        <v>925</v>
      </c>
      <c r="I3" s="853" t="s">
        <v>926</v>
      </c>
    </row>
    <row r="4" spans="1:9" ht="30">
      <c r="A4" s="1504" t="str">
        <f>项目基本情况!S2</f>
        <v>北京市密云县车站路59号楼1至2层3商业综合用房房地产</v>
      </c>
      <c r="B4" s="853">
        <f>项目基本情况!C17</f>
        <v>174.21</v>
      </c>
      <c r="C4" s="853">
        <f>项目基本情况!C18</f>
        <v>0</v>
      </c>
      <c r="D4" s="853">
        <f ca="1">结果表!D118</f>
        <v>121</v>
      </c>
      <c r="E4" s="853">
        <f ca="1">结果表!E118</f>
        <v>6964</v>
      </c>
      <c r="F4" s="853">
        <f ca="1">结果表!F118</f>
        <v>53</v>
      </c>
      <c r="G4" s="853">
        <f ca="1">结果表!G118</f>
        <v>3056</v>
      </c>
      <c r="H4" s="853">
        <f ca="1">结果表!H118</f>
        <v>175</v>
      </c>
      <c r="I4" s="853">
        <f ca="1">结果表!I118</f>
        <v>10020</v>
      </c>
    </row>
    <row r="5" spans="1:9" ht="30" customHeight="1">
      <c r="A5" s="3521" t="s">
        <v>927</v>
      </c>
      <c r="B5" s="3521"/>
      <c r="C5" s="3521"/>
      <c r="D5" s="3521" t="str">
        <f ca="1">结果表!D119</f>
        <v>壹佰贰拾壹万元整</v>
      </c>
      <c r="E5" s="3521"/>
      <c r="F5" s="3521" t="str">
        <f ca="1">结果表!F119</f>
        <v>伍拾叁万元整</v>
      </c>
      <c r="G5" s="3521"/>
      <c r="H5" s="3521" t="str">
        <f ca="1">结果表!H119</f>
        <v>壹佰柒拾伍万元整</v>
      </c>
      <c r="I5" s="3521"/>
    </row>
    <row r="6" spans="1:9" ht="15.75">
      <c r="A6" s="3520" t="str">
        <f>结果表!A120</f>
        <v>估价师知悉的法定优先受偿款</v>
      </c>
      <c r="B6" s="3520"/>
      <c r="C6" s="3520"/>
      <c r="D6" s="3520">
        <f>结果表!D120</f>
        <v>0</v>
      </c>
      <c r="E6" s="3520"/>
      <c r="F6" s="3520"/>
      <c r="G6" s="3520"/>
      <c r="H6" s="3520"/>
      <c r="I6" s="3520"/>
    </row>
    <row r="7" spans="1:9" ht="15">
      <c r="A7" s="3521" t="s">
        <v>927</v>
      </c>
      <c r="B7" s="3521"/>
      <c r="C7" s="3521"/>
      <c r="D7" s="3522" t="str">
        <f>结果表!D121</f>
        <v>零元整</v>
      </c>
      <c r="E7" s="3523"/>
      <c r="F7" s="3523"/>
      <c r="G7" s="3523"/>
      <c r="H7" s="3523"/>
      <c r="I7" s="3524"/>
    </row>
    <row r="8" spans="1:9" ht="15.75">
      <c r="A8" s="3520" t="str">
        <f>结果表!A122</f>
        <v>房地产抵押价值</v>
      </c>
      <c r="B8" s="3520"/>
      <c r="C8" s="3520"/>
      <c r="D8" s="3520">
        <f ca="1">结果表!D122</f>
        <v>175</v>
      </c>
      <c r="E8" s="3520"/>
      <c r="F8" s="3520"/>
      <c r="G8" s="3520"/>
      <c r="H8" s="3520"/>
      <c r="I8" s="3520"/>
    </row>
    <row r="9" spans="1:9" ht="15">
      <c r="A9" s="3521" t="s">
        <v>927</v>
      </c>
      <c r="B9" s="3521"/>
      <c r="C9" s="3521"/>
      <c r="D9" s="3521" t="str">
        <f ca="1">结果表!D123</f>
        <v>壹佰柒拾伍万元整</v>
      </c>
      <c r="E9" s="3521"/>
      <c r="F9" s="3521"/>
      <c r="G9" s="3521"/>
      <c r="H9" s="3521"/>
      <c r="I9" s="3521"/>
    </row>
    <row r="10" spans="1:9" ht="15.75">
      <c r="A10" s="3520" t="str">
        <f>结果表!A124</f>
        <v/>
      </c>
      <c r="B10" s="3520"/>
      <c r="C10" s="3520"/>
      <c r="D10" s="3520" t="str">
        <f>结果表!D124</f>
        <v>——</v>
      </c>
      <c r="E10" s="3520"/>
      <c r="F10" s="3520"/>
      <c r="G10" s="3520"/>
      <c r="H10" s="3520"/>
      <c r="I10" s="3520"/>
    </row>
    <row r="11" spans="1:9" ht="15">
      <c r="A11" s="3521" t="s">
        <v>927</v>
      </c>
      <c r="B11" s="3521"/>
      <c r="C11" s="3521"/>
      <c r="D11" s="3521" t="e">
        <f>结果表!D125</f>
        <v>#VALUE!</v>
      </c>
      <c r="E11" s="3521"/>
      <c r="F11" s="3521"/>
      <c r="G11" s="3521"/>
      <c r="H11" s="3521"/>
      <c r="I11" s="3521"/>
    </row>
    <row r="12" spans="1:9" ht="15.75">
      <c r="A12" s="3520" t="str">
        <f>结果表!A126</f>
        <v/>
      </c>
      <c r="B12" s="3520"/>
      <c r="C12" s="3520"/>
      <c r="D12" s="3520" t="str">
        <f>结果表!D126</f>
        <v>——</v>
      </c>
      <c r="E12" s="3520"/>
      <c r="F12" s="3520"/>
      <c r="G12" s="3520"/>
      <c r="H12" s="3520"/>
      <c r="I12" s="3520"/>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33" t="s">
        <v>949</v>
      </c>
      <c r="B1" s="3533"/>
      <c r="C1" s="3533"/>
      <c r="D1" s="3533"/>
    </row>
    <row r="2" spans="1:4" ht="18">
      <c r="A2" s="3534" t="s">
        <v>933</v>
      </c>
      <c r="B2" s="3534"/>
      <c r="C2" s="3534"/>
      <c r="D2" s="353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34" t="s">
        <v>939</v>
      </c>
      <c r="B6" s="3534"/>
      <c r="C6" s="3534"/>
      <c r="D6" s="353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35" t="s">
        <v>942</v>
      </c>
      <c r="B11" s="3527"/>
      <c r="C11" s="3527"/>
      <c r="D11" s="3527"/>
    </row>
    <row r="12" spans="1:4" ht="15.75">
      <c r="A12" s="35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27" t="str">
        <f>IF(项目基本情况!B8="抵押","4.本次评估估价师所知悉的法定优先受偿款情况说明如下：","——")</f>
        <v>4.本次评估估价师所知悉的法定优先受偿款情况说明如下：</v>
      </c>
      <c r="B14" s="3532"/>
      <c r="C14" s="3532"/>
      <c r="D14" s="3532"/>
    </row>
    <row r="15" spans="1:4" ht="42" customHeight="1">
      <c r="A15" s="35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7"/>
      <c r="C15" s="3527"/>
      <c r="D15" s="3527"/>
    </row>
    <row r="16" spans="1:4" ht="30" customHeight="1">
      <c r="A16" s="3529" t="s">
        <v>943</v>
      </c>
      <c r="B16" s="3529"/>
      <c r="C16" s="3529"/>
      <c r="D16" s="3529"/>
    </row>
    <row r="17" spans="1:4" ht="144" customHeight="1">
      <c r="A17" s="3529" t="s">
        <v>944</v>
      </c>
      <c r="B17" s="3529"/>
      <c r="C17" s="3529"/>
      <c r="D17" s="3529"/>
    </row>
    <row r="18" spans="1:4" ht="15.75" customHeight="1">
      <c r="A18" s="3527" t="str">
        <f>IF(项目基本情况!B8="抵押",结果表!K120,"——")</f>
        <v>故，本次评估不存在估价师知悉的法定优先受偿款</v>
      </c>
      <c r="B18" s="3527"/>
      <c r="C18" s="3527"/>
      <c r="D18" s="3527"/>
    </row>
    <row r="19" spans="1:4" ht="46.5" customHeight="1">
      <c r="A19" s="35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7"/>
      <c r="C19" s="3527"/>
      <c r="D19" s="3527"/>
    </row>
    <row r="20" spans="1:4" ht="57.75" customHeight="1">
      <c r="A20" s="35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7"/>
      <c r="C20" s="3527"/>
      <c r="D20" s="3527"/>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8">
        <v>42551</v>
      </c>
      <c r="D31" s="35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1" t="s">
        <v>956</v>
      </c>
      <c r="B15" s="3536" t="s">
        <v>109</v>
      </c>
      <c r="C15" s="3537"/>
    </row>
    <row r="16" spans="1:7" ht="13.5">
      <c r="A16" s="3542"/>
      <c r="B16" s="3536" t="s">
        <v>42</v>
      </c>
      <c r="C16" s="3537"/>
    </row>
    <row r="17" spans="1:3" ht="13.5">
      <c r="A17" s="3542"/>
      <c r="B17" s="3539" t="s">
        <v>957</v>
      </c>
      <c r="C17" s="1531" t="s">
        <v>956</v>
      </c>
    </row>
    <row r="18" spans="1:3" ht="13.5">
      <c r="A18" s="3542"/>
      <c r="B18" s="3539"/>
      <c r="C18" s="1531" t="s">
        <v>958</v>
      </c>
    </row>
    <row r="19" spans="1:3" ht="13.5">
      <c r="A19" s="3542"/>
      <c r="B19" s="3539"/>
      <c r="C19" s="1531" t="s">
        <v>959</v>
      </c>
    </row>
    <row r="20" spans="1:3" ht="13.5">
      <c r="A20" s="3543"/>
      <c r="B20" s="3538" t="s">
        <v>960</v>
      </c>
      <c r="C20" s="3537"/>
    </row>
    <row r="21" spans="1:3" ht="13.5">
      <c r="A21" s="1532" t="s">
        <v>961</v>
      </c>
      <c r="B21" s="1533"/>
      <c r="C21" s="1534"/>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31" t="s">
        <v>967</v>
      </c>
    </row>
    <row r="26" spans="1:3" ht="13.5">
      <c r="A26" s="3540"/>
      <c r="B26" s="3539"/>
      <c r="C26" s="1531" t="s">
        <v>968</v>
      </c>
    </row>
    <row r="27" spans="1:3" ht="13.5">
      <c r="A27" s="3540"/>
      <c r="B27" s="3539"/>
      <c r="C27" s="1531" t="s">
        <v>969</v>
      </c>
    </row>
    <row r="28" spans="1:3" ht="13.5">
      <c r="A28" s="3540"/>
      <c r="B28" s="3539"/>
      <c r="C28" s="1531" t="s">
        <v>970</v>
      </c>
    </row>
    <row r="29" spans="1:3" ht="13.5">
      <c r="A29" s="3540"/>
      <c r="B29" s="3539"/>
      <c r="C29" s="1531" t="s">
        <v>971</v>
      </c>
    </row>
    <row r="30" spans="1:3" ht="13.5">
      <c r="A30" s="3540"/>
      <c r="B30" s="3539"/>
      <c r="C30" s="1531" t="s">
        <v>972</v>
      </c>
    </row>
    <row r="31" spans="1:3" ht="13.5">
      <c r="A31" s="3540"/>
      <c r="B31" s="3539"/>
      <c r="C31" s="1531" t="s">
        <v>973</v>
      </c>
    </row>
    <row r="32" spans="1:3" ht="13.5">
      <c r="A32" s="3540"/>
      <c r="B32" s="3539"/>
      <c r="C32" s="1531" t="s">
        <v>974</v>
      </c>
    </row>
    <row r="33" spans="1:3" ht="13.5">
      <c r="A33" s="3540"/>
      <c r="B33" s="353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45300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42"/>
      <c r="E18" s="3546" t="s">
        <v>2162</v>
      </c>
      <c r="F18" s="3545"/>
      <c r="G18" s="354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基准地价修正</vt:lpstr>
      <vt:lpstr>收益法 (元)</vt:lpstr>
      <vt:lpstr>比较法-办公</vt:lpstr>
      <vt:lpstr>比较法-租金</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2024-01-09T12:01:14Z</dcterms:modified>
</cp:coreProperties>
</file>