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1" activeTab="44"/>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36" i="77" l="1"/>
  <c r="D36" i="77"/>
  <c r="E36" i="77"/>
  <c r="F36" i="77"/>
  <c r="G36" i="77"/>
  <c r="H36" i="77"/>
  <c r="I36" i="77"/>
  <c r="J36" i="77"/>
  <c r="K36" i="77"/>
  <c r="L36" i="77"/>
  <c r="M36" i="77"/>
  <c r="C36" i="77"/>
  <c r="B10" i="77"/>
  <c r="F10" i="77"/>
  <c r="E10" i="77"/>
  <c r="D10" i="77"/>
  <c r="C10" i="77"/>
  <c r="B8" i="77"/>
  <c r="C32" i="66"/>
  <c r="C30" i="66"/>
  <c r="I15" i="66"/>
  <c r="I10" i="66"/>
  <c r="I4" i="66"/>
  <c r="I6" i="66"/>
  <c r="C29" i="66"/>
  <c r="C28" i="66"/>
  <c r="C27" i="66"/>
  <c r="C31" i="66" s="1"/>
  <c r="I38" i="39" l="1"/>
  <c r="G38" i="39"/>
  <c r="E38" i="39"/>
  <c r="I7" i="39"/>
  <c r="G7" i="39"/>
  <c r="E7" i="39"/>
  <c r="I5" i="39"/>
  <c r="G5" i="39"/>
  <c r="E5" i="39"/>
  <c r="I5" i="66"/>
  <c r="I20" i="66"/>
  <c r="Q19" i="77"/>
  <c r="Q16" i="77"/>
  <c r="Q15" i="77"/>
  <c r="D14" i="77"/>
  <c r="E14" i="77" s="1"/>
  <c r="F14" i="77" s="1"/>
  <c r="G14" i="77" s="1"/>
  <c r="H14" i="77" s="1"/>
  <c r="I14" i="77" s="1"/>
  <c r="J14" i="77" s="1"/>
  <c r="K14" i="77" s="1"/>
  <c r="L14" i="77" s="1"/>
  <c r="M14" i="77" s="1"/>
  <c r="N14" i="77" s="1"/>
  <c r="O14" i="77" s="1"/>
  <c r="P14" i="77" s="1"/>
  <c r="C14" i="77"/>
  <c r="E12" i="77"/>
  <c r="F12" i="77" s="1"/>
  <c r="G12" i="77" s="1"/>
  <c r="H12" i="77" s="1"/>
  <c r="I12" i="77" s="1"/>
  <c r="J12" i="77" s="1"/>
  <c r="K12" i="77" s="1"/>
  <c r="L12" i="77" s="1"/>
  <c r="M12" i="77" s="1"/>
  <c r="N12" i="77" s="1"/>
  <c r="O12" i="77" s="1"/>
  <c r="P12" i="77" s="1"/>
  <c r="C12" i="77"/>
  <c r="D12" i="77" s="1"/>
  <c r="D11" i="77"/>
  <c r="C11" i="77"/>
  <c r="E9" i="77"/>
  <c r="F9" i="77" s="1"/>
  <c r="G9" i="77" s="1"/>
  <c r="H9" i="77" s="1"/>
  <c r="I9" i="77" s="1"/>
  <c r="J9" i="77" s="1"/>
  <c r="K9" i="77" s="1"/>
  <c r="L9" i="77" s="1"/>
  <c r="M9" i="77" s="1"/>
  <c r="N9" i="77" s="1"/>
  <c r="O9" i="77" s="1"/>
  <c r="P9" i="77" s="1"/>
  <c r="C9" i="77"/>
  <c r="D9" i="77" s="1"/>
  <c r="C7" i="77"/>
  <c r="D7" i="77" s="1"/>
  <c r="E7" i="77" s="1"/>
  <c r="F7" i="77" s="1"/>
  <c r="G7" i="77" s="1"/>
  <c r="H7" i="77" s="1"/>
  <c r="I7" i="77" s="1"/>
  <c r="J7" i="77" s="1"/>
  <c r="K7" i="77" s="1"/>
  <c r="L7" i="77" s="1"/>
  <c r="M7" i="77" s="1"/>
  <c r="N7" i="77" s="1"/>
  <c r="O7" i="77" s="1"/>
  <c r="P7" i="77" s="1"/>
  <c r="C6" i="77"/>
  <c r="D6" i="77" s="1"/>
  <c r="E6" i="77" s="1"/>
  <c r="F6" i="77" s="1"/>
  <c r="G6" i="77" s="1"/>
  <c r="H6" i="77" s="1"/>
  <c r="I6" i="77" s="1"/>
  <c r="J6" i="77" s="1"/>
  <c r="K6" i="77" s="1"/>
  <c r="L6" i="77" s="1"/>
  <c r="M6" i="77" s="1"/>
  <c r="N6" i="77" s="1"/>
  <c r="O6" i="77" s="1"/>
  <c r="P6" i="77" s="1"/>
  <c r="D5" i="77"/>
  <c r="E5" i="77" s="1"/>
  <c r="C5" i="77"/>
  <c r="E4" i="77"/>
  <c r="E3" i="77"/>
  <c r="Y6" i="1"/>
  <c r="N6" i="1"/>
  <c r="G19" i="6"/>
  <c r="E58" i="39" s="1"/>
  <c r="F19" i="6"/>
  <c r="D29" i="43" s="1"/>
  <c r="D39" i="43" l="1"/>
  <c r="C8" i="77"/>
  <c r="B31" i="77" s="1"/>
  <c r="C13" i="77"/>
  <c r="C20" i="77" s="1"/>
  <c r="C21" i="77"/>
  <c r="F5" i="77"/>
  <c r="E8" i="77"/>
  <c r="Q7" i="77"/>
  <c r="Q6" i="77"/>
  <c r="B13" i="77"/>
  <c r="D8" i="77"/>
  <c r="C31" i="77" s="1"/>
  <c r="Q9" i="77"/>
  <c r="D31" i="77"/>
  <c r="E11" i="77"/>
  <c r="Q12" i="77"/>
  <c r="F3" i="77"/>
  <c r="G3" i="77" s="1"/>
  <c r="F4" i="77"/>
  <c r="Q14" i="77"/>
  <c r="F24" i="12"/>
  <c r="D13" i="77" l="1"/>
  <c r="D20" i="77" s="1"/>
  <c r="D21" i="77" s="1"/>
  <c r="G5" i="77"/>
  <c r="F8" i="77"/>
  <c r="C22" i="77"/>
  <c r="C23" i="77" s="1"/>
  <c r="C24" i="77" s="1"/>
  <c r="Q3" i="77"/>
  <c r="E31" i="77"/>
  <c r="G4" i="77"/>
  <c r="B20" i="77"/>
  <c r="F11" i="77"/>
  <c r="E13" i="77"/>
  <c r="E20" i="77" s="1"/>
  <c r="E21" i="77" s="1"/>
  <c r="F7" i="69"/>
  <c r="F7" i="68"/>
  <c r="D22" i="77" l="1"/>
  <c r="D23" i="77" s="1"/>
  <c r="D24" i="77" s="1"/>
  <c r="E22" i="77"/>
  <c r="E23" i="77" s="1"/>
  <c r="E24" i="77" s="1"/>
  <c r="G11" i="77"/>
  <c r="B21" i="77"/>
  <c r="F13" i="77"/>
  <c r="F20" i="77" s="1"/>
  <c r="F21" i="77" s="1"/>
  <c r="H4" i="77"/>
  <c r="G8" i="77"/>
  <c r="G10" i="77" s="1"/>
  <c r="F31" i="77" s="1"/>
  <c r="H5" i="77"/>
  <c r="M15" i="45"/>
  <c r="L15" i="45"/>
  <c r="K15" i="45"/>
  <c r="J15" i="45"/>
  <c r="I15" i="45"/>
  <c r="H15" i="45"/>
  <c r="G15" i="45"/>
  <c r="F15" i="45"/>
  <c r="E15" i="45"/>
  <c r="D15" i="45"/>
  <c r="C15" i="45"/>
  <c r="B15" i="45"/>
  <c r="G13" i="77" l="1"/>
  <c r="F23" i="77"/>
  <c r="F24" i="77" s="1"/>
  <c r="F22" i="77"/>
  <c r="I5" i="77"/>
  <c r="H8" i="77"/>
  <c r="H10" i="77"/>
  <c r="G31" i="77" s="1"/>
  <c r="Q4" i="77"/>
  <c r="B23" i="77"/>
  <c r="B22" i="77"/>
  <c r="H11" i="77"/>
  <c r="G20" i="77"/>
  <c r="AH5" i="71"/>
  <c r="AG5" i="71"/>
  <c r="AE5" i="71"/>
  <c r="AF5" i="71" s="1"/>
  <c r="AD5" i="71"/>
  <c r="Q5" i="71"/>
  <c r="P5" i="71"/>
  <c r="O5" i="71"/>
  <c r="N5" i="71"/>
  <c r="B24" i="77" l="1"/>
  <c r="H13" i="77"/>
  <c r="H20" i="77" s="1"/>
  <c r="I8" i="77"/>
  <c r="I10" i="77" s="1"/>
  <c r="H31" i="77" s="1"/>
  <c r="J5" i="77"/>
  <c r="I11" i="77"/>
  <c r="G21" i="77"/>
  <c r="AD6" i="71"/>
  <c r="AH6" i="71"/>
  <c r="AG6" i="71"/>
  <c r="AE6" i="71"/>
  <c r="AF6" i="71" s="1"/>
  <c r="Q6" i="71"/>
  <c r="P6" i="71"/>
  <c r="O6" i="71"/>
  <c r="N6" i="71"/>
  <c r="H21" i="77" l="1"/>
  <c r="I20" i="77"/>
  <c r="J11" i="77"/>
  <c r="K5" i="77"/>
  <c r="J8" i="77"/>
  <c r="J10" i="77" s="1"/>
  <c r="I31" i="77" s="1"/>
  <c r="G23" i="77"/>
  <c r="G22" i="77"/>
  <c r="I21" i="77"/>
  <c r="I13" i="77"/>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X11" i="71" s="1"/>
  <c r="A2" i="53"/>
  <c r="K59" i="67"/>
  <c r="K59" i="15"/>
  <c r="P74" i="15" s="1"/>
  <c r="P61" i="15"/>
  <c r="D116" i="39"/>
  <c r="E116" i="39"/>
  <c r="F116" i="39"/>
  <c r="G116" i="39"/>
  <c r="H116" i="39"/>
  <c r="I116" i="39"/>
  <c r="J116" i="39"/>
  <c r="K116" i="39"/>
  <c r="L116" i="39"/>
  <c r="M116" i="39"/>
  <c r="C116" i="39"/>
  <c r="A21" i="62"/>
  <c r="B67" i="72" s="1"/>
  <c r="A20" i="62"/>
  <c r="A22" i="51"/>
  <c r="A21" i="51"/>
  <c r="A20" i="51"/>
  <c r="B15" i="72" s="1"/>
  <c r="A14" i="62"/>
  <c r="A13" i="62"/>
  <c r="B59" i="72" s="1"/>
  <c r="A19" i="62"/>
  <c r="A12" i="62"/>
  <c r="B58" i="72" s="1"/>
  <c r="A120" i="9"/>
  <c r="H2" i="52"/>
  <c r="A1" i="52"/>
  <c r="A3" i="53"/>
  <c r="Q12" i="71"/>
  <c r="P12" i="71"/>
  <c r="AA12" i="71" s="1"/>
  <c r="O12" i="71"/>
  <c r="N12" i="71"/>
  <c r="X12" i="71" s="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0" i="72"/>
  <c r="B66"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Q54" i="71" s="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E49" i="71" s="1"/>
  <c r="E50" i="71" s="1"/>
  <c r="U50" i="71" s="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E41" i="71" s="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F37" i="71" s="1"/>
  <c r="F38" i="71" s="1"/>
  <c r="V38" i="71" s="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Q23" i="71"/>
  <c r="P23" i="71"/>
  <c r="O23" i="71"/>
  <c r="N23" i="71"/>
  <c r="D23" i="71"/>
  <c r="Q22" i="71"/>
  <c r="P22" i="71"/>
  <c r="O22" i="71"/>
  <c r="Y22" i="71"/>
  <c r="Z22" i="71" s="1"/>
  <c r="N22" i="71"/>
  <c r="Q21" i="71"/>
  <c r="P21" i="71"/>
  <c r="O21" i="71"/>
  <c r="N21" i="71"/>
  <c r="Q20" i="71"/>
  <c r="P20" i="71"/>
  <c r="O20" i="71"/>
  <c r="N20" i="71"/>
  <c r="Q19" i="71"/>
  <c r="F20" i="71" s="1"/>
  <c r="F21" i="71" s="1"/>
  <c r="P19" i="71"/>
  <c r="O19" i="71"/>
  <c r="N19" i="71"/>
  <c r="D19" i="71"/>
  <c r="Q18" i="71"/>
  <c r="P18" i="71"/>
  <c r="O18" i="71"/>
  <c r="N18" i="71"/>
  <c r="Q17" i="71"/>
  <c r="P17" i="71"/>
  <c r="AA17" i="71" s="1"/>
  <c r="O17" i="71"/>
  <c r="N17" i="71"/>
  <c r="X17" i="71" s="1"/>
  <c r="Q16" i="71"/>
  <c r="P16" i="71"/>
  <c r="AA16" i="71" s="1"/>
  <c r="O16" i="71"/>
  <c r="Y16" i="71"/>
  <c r="Z16" i="71" s="1"/>
  <c r="N16" i="71"/>
  <c r="Q15" i="71"/>
  <c r="P15" i="71"/>
  <c r="E16" i="71" s="1"/>
  <c r="O15" i="71"/>
  <c r="N15" i="71"/>
  <c r="D15" i="71"/>
  <c r="O14" i="71"/>
  <c r="N14" i="71"/>
  <c r="B16" i="71"/>
  <c r="B17" i="71" s="1"/>
  <c r="X15" i="71"/>
  <c r="B20" i="71"/>
  <c r="B21" i="71" s="1"/>
  <c r="X19" i="71"/>
  <c r="B24" i="71"/>
  <c r="B25" i="71"/>
  <c r="B26" i="71" s="1"/>
  <c r="S26" i="71" s="1"/>
  <c r="X23" i="71"/>
  <c r="E24" i="71"/>
  <c r="E25" i="71" s="1"/>
  <c r="E26" i="71" s="1"/>
  <c r="U26" i="71" s="1"/>
  <c r="AA23" i="71"/>
  <c r="N54" i="71"/>
  <c r="E20" i="71"/>
  <c r="AA19" i="71"/>
  <c r="X16" i="71"/>
  <c r="X18" i="71"/>
  <c r="C20" i="71"/>
  <c r="C21" i="71" s="1"/>
  <c r="Y19" i="71"/>
  <c r="Z19" i="71" s="1"/>
  <c r="AA20" i="71"/>
  <c r="X22" i="71"/>
  <c r="Y23" i="71"/>
  <c r="Z23" i="71" s="1"/>
  <c r="X24" i="71"/>
  <c r="AA24" i="71"/>
  <c r="C14" i="71"/>
  <c r="Y14" i="71"/>
  <c r="Z14" i="71" s="1"/>
  <c r="D20" i="71"/>
  <c r="C37" i="71"/>
  <c r="D36" i="71"/>
  <c r="P14" i="71"/>
  <c r="E42" i="71"/>
  <c r="U42" i="71" s="1"/>
  <c r="U54" i="71"/>
  <c r="E53" i="71"/>
  <c r="Q14" i="71"/>
  <c r="C45" i="71"/>
  <c r="D44" i="71"/>
  <c r="N53" i="71"/>
  <c r="B52" i="71"/>
  <c r="O54" i="71"/>
  <c r="C57" i="71"/>
  <c r="C56" i="71" s="1"/>
  <c r="D56" i="71" s="1"/>
  <c r="E57" i="71"/>
  <c r="E56" i="71"/>
  <c r="D58" i="71"/>
  <c r="C61" i="71"/>
  <c r="C60" i="71" s="1"/>
  <c r="E61" i="71"/>
  <c r="E60" i="71"/>
  <c r="C65" i="71"/>
  <c r="E65" i="71"/>
  <c r="E64" i="71"/>
  <c r="D66" i="71"/>
  <c r="C69" i="71"/>
  <c r="C73" i="71"/>
  <c r="AA3" i="71"/>
  <c r="AA14" i="71"/>
  <c r="D69" i="71"/>
  <c r="C68" i="71"/>
  <c r="D68" i="71" s="1"/>
  <c r="D61" i="71"/>
  <c r="D60" i="71"/>
  <c r="N51" i="71"/>
  <c r="N52" i="71"/>
  <c r="D73" i="71"/>
  <c r="C72" i="71"/>
  <c r="D72" i="71" s="1"/>
  <c r="D65" i="71"/>
  <c r="C64" i="71"/>
  <c r="D64" i="71" s="1"/>
  <c r="D57" i="71"/>
  <c r="C46" i="71"/>
  <c r="T46" i="71" s="1"/>
  <c r="D45" i="71"/>
  <c r="P53" i="71"/>
  <c r="E52" i="71"/>
  <c r="C38" i="71"/>
  <c r="T38" i="71" s="1"/>
  <c r="D37" i="71"/>
  <c r="C22" i="71"/>
  <c r="T22" i="71" s="1"/>
  <c r="D21" i="71"/>
  <c r="P51" i="71"/>
  <c r="P52" i="71"/>
  <c r="D22" i="71"/>
  <c r="D38"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29" i="39"/>
  <c r="AA29" i="39" s="1"/>
  <c r="Q18" i="36"/>
  <c r="Z18" i="36" s="1"/>
  <c r="D66" i="36"/>
  <c r="E66" i="36" s="1"/>
  <c r="F66" i="36" s="1"/>
  <c r="G66" i="36" s="1"/>
  <c r="H18" i="36"/>
  <c r="AB18" i="36"/>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c r="C22" i="20"/>
  <c r="B75" i="43"/>
  <c r="B55" i="43"/>
  <c r="B66" i="43"/>
  <c r="C25" i="40"/>
  <c r="C29" i="39"/>
  <c r="S29" i="39"/>
  <c r="S18" i="36"/>
  <c r="U18" i="36"/>
  <c r="H25" i="40"/>
  <c r="U25" i="40" s="1"/>
  <c r="J25" i="40"/>
  <c r="F103" i="39"/>
  <c r="H29" i="39"/>
  <c r="G103" i="39"/>
  <c r="J29" i="39"/>
  <c r="J18" i="36"/>
  <c r="W18" i="36" s="1"/>
  <c r="H18" i="35"/>
  <c r="AB18" i="35" s="1"/>
  <c r="G68" i="35"/>
  <c r="J18" i="35"/>
  <c r="H21" i="37"/>
  <c r="F21" i="37"/>
  <c r="AA21" i="37" s="1"/>
  <c r="H21" i="34"/>
  <c r="H21" i="33"/>
  <c r="U21" i="33" s="1"/>
  <c r="F21" i="33"/>
  <c r="S21" i="21"/>
  <c r="H1" i="69"/>
  <c r="AB25" i="40"/>
  <c r="AC18" i="36"/>
  <c r="AB21" i="37"/>
  <c r="U21" i="37"/>
  <c r="S21" i="37"/>
  <c r="AB21" i="33"/>
  <c r="U18" i="35"/>
  <c r="AC18" i="35"/>
  <c r="W18" i="35"/>
  <c r="J21" i="37"/>
  <c r="AC21" i="37" s="1"/>
  <c r="J21" i="34"/>
  <c r="J21" i="33"/>
  <c r="AC21" i="33" s="1"/>
  <c r="H21" i="21"/>
  <c r="F38" i="69"/>
  <c r="E37" i="69"/>
  <c r="F36" i="69"/>
  <c r="F35" i="69"/>
  <c r="F21" i="69"/>
  <c r="C21" i="69" s="1"/>
  <c r="F20" i="69"/>
  <c r="E10" i="69"/>
  <c r="E9" i="69"/>
  <c r="C7" i="69"/>
  <c r="W21" i="37"/>
  <c r="W21" i="33"/>
  <c r="J21" i="2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s="1"/>
  <c r="S1" i="4"/>
  <c r="B1" i="4"/>
  <c r="I23" i="66"/>
  <c r="D20" i="66"/>
  <c r="I19" i="66"/>
  <c r="I18" i="66"/>
  <c r="I17" i="66"/>
  <c r="E15" i="66"/>
  <c r="I14" i="66"/>
  <c r="I13" i="66"/>
  <c r="I12" i="66"/>
  <c r="I9" i="66"/>
  <c r="I8" i="66"/>
  <c r="I7" i="66"/>
  <c r="I3" i="66"/>
  <c r="I21"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G41" i="43" s="1"/>
  <c r="D15" i="4"/>
  <c r="F7" i="1"/>
  <c r="G7" i="1" s="1"/>
  <c r="L21" i="4"/>
  <c r="F19" i="4"/>
  <c r="F2" i="52"/>
  <c r="B50" i="72" s="1"/>
  <c r="D2" i="52"/>
  <c r="B46" i="72" s="1"/>
  <c r="B8" i="53"/>
  <c r="B23" i="72" s="1"/>
  <c r="L4" i="9"/>
  <c r="B17" i="72"/>
  <c r="A3" i="51"/>
  <c r="C8" i="11"/>
  <c r="B2" i="49"/>
  <c r="E17" i="49" s="1"/>
  <c r="B40" i="48"/>
  <c r="I2" i="43"/>
  <c r="N1" i="43" s="1"/>
  <c r="F35" i="4"/>
  <c r="J55" i="39" s="1"/>
  <c r="H34" i="43"/>
  <c r="H35" i="43"/>
  <c r="H36" i="43"/>
  <c r="H37" i="43"/>
  <c r="H38" i="43"/>
  <c r="H39" i="43"/>
  <c r="H33" i="43"/>
  <c r="J20" i="43"/>
  <c r="C18" i="43"/>
  <c r="F15" i="43"/>
  <c r="E15" i="43"/>
  <c r="D15" i="43"/>
  <c r="C12" i="43" s="1"/>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F25" i="35" s="1"/>
  <c r="S25" i="35" s="1"/>
  <c r="B75" i="35"/>
  <c r="J24" i="35" s="1"/>
  <c r="AC24" i="35" s="1"/>
  <c r="B73" i="35"/>
  <c r="B57" i="35"/>
  <c r="B61" i="35"/>
  <c r="B59" i="35"/>
  <c r="J12" i="35" s="1"/>
  <c r="W12" i="35" s="1"/>
  <c r="B131" i="34"/>
  <c r="B129" i="34"/>
  <c r="J46" i="34" s="1"/>
  <c r="B127" i="34"/>
  <c r="B99" i="34"/>
  <c r="F32" i="34" s="1"/>
  <c r="B97" i="34"/>
  <c r="B95" i="34"/>
  <c r="H30" i="34" s="1"/>
  <c r="B93" i="34"/>
  <c r="B75" i="34"/>
  <c r="B73" i="34"/>
  <c r="B71" i="34"/>
  <c r="B130" i="33"/>
  <c r="B128" i="33"/>
  <c r="B126" i="33"/>
  <c r="B98" i="33"/>
  <c r="F31" i="33" s="1"/>
  <c r="B96" i="33"/>
  <c r="B94" i="33"/>
  <c r="B74" i="33"/>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H31"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H36" i="39"/>
  <c r="AB36" i="39" s="1"/>
  <c r="J35" i="39"/>
  <c r="AC35" i="39" s="1"/>
  <c r="F35" i="39"/>
  <c r="U9" i="39"/>
  <c r="W40" i="39"/>
  <c r="W31" i="37"/>
  <c r="F39" i="37"/>
  <c r="S39" i="37" s="1"/>
  <c r="F29" i="36"/>
  <c r="AA29" i="36"/>
  <c r="F16" i="36"/>
  <c r="AA16" i="36" s="1"/>
  <c r="U9" i="36"/>
  <c r="S30" i="36"/>
  <c r="AA31" i="36"/>
  <c r="U31" i="36"/>
  <c r="J33" i="36"/>
  <c r="W33" i="36"/>
  <c r="H22" i="35"/>
  <c r="AB22" i="35"/>
  <c r="W28" i="35"/>
  <c r="S34" i="35"/>
  <c r="W36" i="35"/>
  <c r="S31" i="35"/>
  <c r="F36" i="34"/>
  <c r="J35" i="34"/>
  <c r="W9" i="34"/>
  <c r="H39" i="33"/>
  <c r="AB39" i="33" s="1"/>
  <c r="U33" i="33"/>
  <c r="W39" i="33"/>
  <c r="H39" i="37"/>
  <c r="AB39" i="37"/>
  <c r="F11" i="40"/>
  <c r="AA11" i="40" s="1"/>
  <c r="H11" i="40"/>
  <c r="AB11" i="40" s="1"/>
  <c r="W8" i="40"/>
  <c r="AC40" i="40"/>
  <c r="AC9" i="40"/>
  <c r="S40" i="40"/>
  <c r="W31" i="40"/>
  <c r="U34" i="40"/>
  <c r="U40" i="40"/>
  <c r="F42" i="39"/>
  <c r="AA42" i="39" s="1"/>
  <c r="F41" i="39"/>
  <c r="S41" i="39" s="1"/>
  <c r="H40" i="39"/>
  <c r="AB40" i="39" s="1"/>
  <c r="H39" i="39"/>
  <c r="U39" i="39" s="1"/>
  <c r="H34" i="39"/>
  <c r="U34" i="39" s="1"/>
  <c r="H31" i="39"/>
  <c r="AB31" i="39" s="1"/>
  <c r="E101" i="39"/>
  <c r="H19" i="39"/>
  <c r="AB19" i="39" s="1"/>
  <c r="F19" i="39"/>
  <c r="AA19" i="39" s="1"/>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F101" i="39"/>
  <c r="G101" i="39" s="1"/>
  <c r="H27" i="39"/>
  <c r="U27" i="39" s="1"/>
  <c r="J19" i="39"/>
  <c r="AC19" i="39" s="1"/>
  <c r="J17" i="39"/>
  <c r="W17" i="39" s="1"/>
  <c r="J27" i="39"/>
  <c r="F27" i="39"/>
  <c r="F11" i="21"/>
  <c r="S11" i="21" s="1"/>
  <c r="S40"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F37" i="39"/>
  <c r="AA37" i="39" s="1"/>
  <c r="J34" i="36"/>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S8" i="36"/>
  <c r="U8" i="35"/>
  <c r="F14" i="35"/>
  <c r="AA14" i="35" s="1"/>
  <c r="F23" i="35"/>
  <c r="AA23" i="35" s="1"/>
  <c r="J32" i="35"/>
  <c r="AC32" i="35" s="1"/>
  <c r="J16" i="35"/>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U42" i="34"/>
  <c r="H40" i="34"/>
  <c r="U40" i="34" s="1"/>
  <c r="E114" i="34"/>
  <c r="F114" i="34" s="1"/>
  <c r="G114" i="34" s="1"/>
  <c r="H114" i="34" s="1"/>
  <c r="H36" i="34"/>
  <c r="U36" i="34"/>
  <c r="F37" i="34"/>
  <c r="AA37" i="34"/>
  <c r="F28" i="34"/>
  <c r="F27" i="34"/>
  <c r="AA27" i="34" s="1"/>
  <c r="F25" i="34"/>
  <c r="S25" i="34" s="1"/>
  <c r="H23" i="34"/>
  <c r="J23" i="34"/>
  <c r="F19" i="34"/>
  <c r="H17" i="34"/>
  <c r="F15" i="34"/>
  <c r="AA15" i="34" s="1"/>
  <c r="J15" i="34"/>
  <c r="W15" i="34" s="1"/>
  <c r="H15" i="34"/>
  <c r="AB15" i="34" s="1"/>
  <c r="S9" i="34"/>
  <c r="J28" i="34"/>
  <c r="F41" i="33"/>
  <c r="S38" i="33"/>
  <c r="F32" i="33"/>
  <c r="AA32" i="33" s="1"/>
  <c r="J19" i="33"/>
  <c r="AC19" i="33" s="1"/>
  <c r="J15" i="33"/>
  <c r="AC15" i="33" s="1"/>
  <c r="F11" i="33"/>
  <c r="AA11" i="33" s="1"/>
  <c r="U40" i="33"/>
  <c r="S8" i="33"/>
  <c r="F37" i="40"/>
  <c r="AA37" i="40"/>
  <c r="F36" i="40"/>
  <c r="AA36" i="40"/>
  <c r="H28" i="40"/>
  <c r="U28" i="40"/>
  <c r="F23" i="40"/>
  <c r="AA23" i="40"/>
  <c r="F17" i="40"/>
  <c r="AA17" i="40"/>
  <c r="J17" i="40"/>
  <c r="W17" i="40"/>
  <c r="F15" i="40"/>
  <c r="S15" i="40"/>
  <c r="H15" i="40"/>
  <c r="AB15" i="40"/>
  <c r="S12" i="36"/>
  <c r="AB30" i="36"/>
  <c r="U30" i="35"/>
  <c r="F29" i="35"/>
  <c r="H29" i="35"/>
  <c r="AB29" i="35" s="1"/>
  <c r="H33" i="37"/>
  <c r="AB33" i="37" s="1"/>
  <c r="F33" i="37"/>
  <c r="AA33" i="37" s="1"/>
  <c r="U34" i="37"/>
  <c r="S34" i="37"/>
  <c r="AA34" i="37"/>
  <c r="J43" i="34"/>
  <c r="AB42" i="34"/>
  <c r="J40" i="34"/>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123" i="2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H30" i="21"/>
  <c r="F30" i="21"/>
  <c r="S30" i="21" s="1"/>
  <c r="J30" i="21"/>
  <c r="AC30" i="21" s="1"/>
  <c r="J44" i="21"/>
  <c r="F44" i="21"/>
  <c r="AA44" i="21" s="1"/>
  <c r="H46" i="21"/>
  <c r="U46"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27" i="33"/>
  <c r="AA27" i="33" s="1"/>
  <c r="H13" i="33"/>
  <c r="AB13" i="33" s="1"/>
  <c r="F13" i="33"/>
  <c r="J29" i="33"/>
  <c r="H29" i="33"/>
  <c r="U29" i="33" s="1"/>
  <c r="F29" i="33"/>
  <c r="S29" i="33" s="1"/>
  <c r="J31" i="33"/>
  <c r="W31" i="33" s="1"/>
  <c r="H31" i="33"/>
  <c r="AB31" i="33" s="1"/>
  <c r="H45" i="33"/>
  <c r="U45" i="33" s="1"/>
  <c r="J45" i="33"/>
  <c r="F45" i="33"/>
  <c r="J14" i="34"/>
  <c r="W14" i="34" s="1"/>
  <c r="F14" i="34"/>
  <c r="S14" i="34" s="1"/>
  <c r="H14" i="34"/>
  <c r="F30" i="34"/>
  <c r="S30" i="34" s="1"/>
  <c r="J30" i="34"/>
  <c r="H32" i="34"/>
  <c r="J32" i="34"/>
  <c r="W32" i="34" s="1"/>
  <c r="H46" i="34"/>
  <c r="U46" i="34" s="1"/>
  <c r="F46" i="34"/>
  <c r="H11" i="35"/>
  <c r="J11" i="35"/>
  <c r="F11" i="35"/>
  <c r="S11" i="35" s="1"/>
  <c r="J26" i="36"/>
  <c r="W26" i="36" s="1"/>
  <c r="H28" i="36"/>
  <c r="U28" i="36" s="1"/>
  <c r="H32" i="36"/>
  <c r="AB32" i="36" s="1"/>
  <c r="J32" i="36"/>
  <c r="W32" i="36" s="1"/>
  <c r="J11" i="36"/>
  <c r="AC11" i="36" s="1"/>
  <c r="H11" i="36"/>
  <c r="U11" i="36" s="1"/>
  <c r="F11" i="36"/>
  <c r="H13" i="36"/>
  <c r="AB13" i="36" s="1"/>
  <c r="J13" i="36"/>
  <c r="AC13" i="36" s="1"/>
  <c r="E89" i="37"/>
  <c r="F89" i="37" s="1"/>
  <c r="G89" i="37" s="1"/>
  <c r="H89" i="37" s="1"/>
  <c r="I89" i="37" s="1"/>
  <c r="J89" i="37" s="1"/>
  <c r="K89" i="37" s="1"/>
  <c r="L89" i="37" s="1"/>
  <c r="M89" i="37" s="1"/>
  <c r="J29" i="37"/>
  <c r="W29" i="37"/>
  <c r="F29" i="37"/>
  <c r="S29" i="37"/>
  <c r="H36" i="37"/>
  <c r="AB36" i="37" s="1"/>
  <c r="F107" i="37"/>
  <c r="G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J25" i="36"/>
  <c r="W25" i="36" s="1"/>
  <c r="F25" i="36"/>
  <c r="S25" i="36" s="1"/>
  <c r="H25" i="36"/>
  <c r="AB25" i="36" s="1"/>
  <c r="F13" i="37"/>
  <c r="S13" i="37" s="1"/>
  <c r="F28" i="37"/>
  <c r="AA28" i="37" s="1"/>
  <c r="J28" i="37"/>
  <c r="AC28" i="37" s="1"/>
  <c r="H28" i="37"/>
  <c r="H38" i="37"/>
  <c r="AB38" i="37" s="1"/>
  <c r="J38" i="37"/>
  <c r="AC38" i="37" s="1"/>
  <c r="F38" i="37"/>
  <c r="S38" i="37" s="1"/>
  <c r="F43" i="39"/>
  <c r="AA43" i="39" s="1"/>
  <c r="J14" i="39"/>
  <c r="F14" i="39"/>
  <c r="H14" i="39"/>
  <c r="AB14" i="39" s="1"/>
  <c r="F12" i="40"/>
  <c r="S12" i="40" s="1"/>
  <c r="H30" i="40"/>
  <c r="AB30" i="40" s="1"/>
  <c r="F33" i="40"/>
  <c r="AA33" i="40" s="1"/>
  <c r="H33" i="40"/>
  <c r="J35" i="40"/>
  <c r="AC35" i="40" s="1"/>
  <c r="J37" i="40"/>
  <c r="AC37" i="40" s="1"/>
  <c r="H13" i="40"/>
  <c r="U13" i="40" s="1"/>
  <c r="J13" i="40"/>
  <c r="W13" i="40" s="1"/>
  <c r="F13" i="40"/>
  <c r="AA13" i="40" s="1"/>
  <c r="F14" i="37"/>
  <c r="S14" i="37" s="1"/>
  <c r="F13" i="39"/>
  <c r="H14" i="40"/>
  <c r="F14" i="40"/>
  <c r="J27" i="37"/>
  <c r="AC27" i="37" s="1"/>
  <c r="AA44" i="33"/>
  <c r="U31" i="34"/>
  <c r="U46" i="33"/>
  <c r="AA14" i="33"/>
  <c r="J36" i="37"/>
  <c r="AC36" i="37"/>
  <c r="AB11" i="36"/>
  <c r="J10" i="36"/>
  <c r="AC10" i="36" s="1"/>
  <c r="AA14" i="37"/>
  <c r="W11" i="36"/>
  <c r="AB46" i="34"/>
  <c r="AA14" i="34"/>
  <c r="AB45" i="33"/>
  <c r="U31" i="33"/>
  <c r="S44" i="34"/>
  <c r="BA585" i="3"/>
  <c r="AZ585" i="3" s="1"/>
  <c r="F17" i="21"/>
  <c r="AA17" i="21" s="1"/>
  <c r="H17" i="21"/>
  <c r="AB17" i="21" s="1"/>
  <c r="F15" i="21"/>
  <c r="S15" i="21" s="1"/>
  <c r="AB11" i="21"/>
  <c r="J41" i="39"/>
  <c r="W41" i="39" s="1"/>
  <c r="W35"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6" i="3"/>
  <c r="BA572" i="3"/>
  <c r="AZ572" i="3" s="1"/>
  <c r="BA568" i="3"/>
  <c r="BA564" i="3"/>
  <c r="BA560" i="3"/>
  <c r="BA548" i="3"/>
  <c r="BA544" i="3"/>
  <c r="BA542" i="3"/>
  <c r="AZ542" i="3" s="1"/>
  <c r="BA540" i="3"/>
  <c r="BA536" i="3"/>
  <c r="AZ536" i="3" s="1"/>
  <c r="BA534" i="3"/>
  <c r="AZ534" i="3" s="1"/>
  <c r="BA532" i="3"/>
  <c r="AZ532" i="3" s="1"/>
  <c r="BA530" i="3"/>
  <c r="BA526" i="3"/>
  <c r="AZ526" i="3" s="1"/>
  <c r="BA522" i="3"/>
  <c r="BA518" i="3"/>
  <c r="BA514" i="3"/>
  <c r="AZ514" i="3" s="1"/>
  <c r="BA506" i="3"/>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1" i="3"/>
  <c r="G577" i="3"/>
  <c r="G573" i="3"/>
  <c r="G569" i="3"/>
  <c r="G565" i="3"/>
  <c r="G561" i="3"/>
  <c r="BA557" i="3"/>
  <c r="AC557" i="3"/>
  <c r="BQ557" i="3"/>
  <c r="BL557" i="3" s="1"/>
  <c r="BQ583" i="3"/>
  <c r="BQ581" i="3"/>
  <c r="BQ579" i="3"/>
  <c r="BQ577" i="3"/>
  <c r="BL577" i="3" s="1"/>
  <c r="AZ577" i="3" s="1"/>
  <c r="BQ575" i="3"/>
  <c r="BL575" i="3"/>
  <c r="BQ573" i="3"/>
  <c r="BQ571" i="3"/>
  <c r="BQ569" i="3"/>
  <c r="BL569" i="3" s="1"/>
  <c r="AZ569" i="3" s="1"/>
  <c r="BQ567" i="3"/>
  <c r="BL567" i="3"/>
  <c r="BQ565" i="3"/>
  <c r="BQ563" i="3"/>
  <c r="BQ561" i="3"/>
  <c r="BQ559" i="3"/>
  <c r="BL559" i="3" s="1"/>
  <c r="G555" i="3"/>
  <c r="G549" i="3"/>
  <c r="G545" i="3"/>
  <c r="G541" i="3"/>
  <c r="G537" i="3"/>
  <c r="BQ555" i="3"/>
  <c r="BL555" i="3"/>
  <c r="BQ553" i="3"/>
  <c r="BQ551" i="3"/>
  <c r="BQ549" i="3"/>
  <c r="BQ547" i="3"/>
  <c r="BQ545" i="3"/>
  <c r="BL545" i="3"/>
  <c r="AZ545" i="3" s="1"/>
  <c r="BQ543" i="3"/>
  <c r="BQ541" i="3"/>
  <c r="BL541" i="3"/>
  <c r="AZ541" i="3" s="1"/>
  <c r="BQ539" i="3"/>
  <c r="BQ537" i="3"/>
  <c r="BL537" i="3"/>
  <c r="AZ537" i="3" s="1"/>
  <c r="BQ535" i="3"/>
  <c r="BQ533" i="3"/>
  <c r="BL533" i="3"/>
  <c r="AZ533" i="3" s="1"/>
  <c r="BQ531" i="3"/>
  <c r="BQ529" i="3"/>
  <c r="BL529" i="3"/>
  <c r="AZ529" i="3" s="1"/>
  <c r="BQ527" i="3"/>
  <c r="BQ525" i="3"/>
  <c r="BL525" i="3"/>
  <c r="AZ525" i="3" s="1"/>
  <c r="BQ523" i="3"/>
  <c r="AC521" i="3"/>
  <c r="G521" i="3" s="1"/>
  <c r="BQ521" i="3"/>
  <c r="BL520" i="3"/>
  <c r="G519" i="3"/>
  <c r="G515" i="3"/>
  <c r="G511" i="3"/>
  <c r="BQ519" i="3"/>
  <c r="BQ517" i="3"/>
  <c r="BQ515" i="3"/>
  <c r="BL515" i="3" s="1"/>
  <c r="AZ515" i="3" s="1"/>
  <c r="BQ513" i="3"/>
  <c r="BL513" i="3"/>
  <c r="BQ511" i="3"/>
  <c r="BA509" i="3"/>
  <c r="AC509" i="3"/>
  <c r="BQ509" i="3"/>
  <c r="BL508" i="3"/>
  <c r="G507" i="3"/>
  <c r="G503" i="3"/>
  <c r="G499" i="3"/>
  <c r="G495"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S28" i="31"/>
  <c r="S27" i="31"/>
  <c r="S26" i="31"/>
  <c r="AC32" i="36"/>
  <c r="AC33" i="36"/>
  <c r="U33" i="37"/>
  <c r="U39" i="37"/>
  <c r="AC8" i="37"/>
  <c r="U26" i="37"/>
  <c r="AB13" i="34"/>
  <c r="W37" i="34"/>
  <c r="AB37" i="34"/>
  <c r="AC36" i="34"/>
  <c r="AC31" i="33"/>
  <c r="W44" i="33"/>
  <c r="U11" i="33"/>
  <c r="U19" i="21"/>
  <c r="U26" i="21"/>
  <c r="AB38" i="21"/>
  <c r="F43" i="33"/>
  <c r="AA43" i="33"/>
  <c r="AC15" i="34"/>
  <c r="W40" i="37"/>
  <c r="H107" i="37"/>
  <c r="I107" i="37" s="1"/>
  <c r="J107" i="37"/>
  <c r="K107" i="37" s="1"/>
  <c r="L107" i="37" s="1"/>
  <c r="M107" i="37" s="1"/>
  <c r="H37" i="21"/>
  <c r="U37" i="21" s="1"/>
  <c r="S42" i="21"/>
  <c r="H19" i="34"/>
  <c r="AB19" i="34" s="1"/>
  <c r="F36" i="35"/>
  <c r="S36" i="35" s="1"/>
  <c r="H9" i="37"/>
  <c r="AB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AC13" i="40"/>
  <c r="W23" i="39"/>
  <c r="AB44" i="39"/>
  <c r="U44" i="39"/>
  <c r="H37" i="39"/>
  <c r="AB37" i="39" s="1"/>
  <c r="AC37" i="39"/>
  <c r="W37" i="39"/>
  <c r="H25" i="39"/>
  <c r="AB25" i="39" s="1"/>
  <c r="J25" i="39"/>
  <c r="F25" i="39"/>
  <c r="AA25" i="39" s="1"/>
  <c r="F15" i="39"/>
  <c r="AA15" i="39" s="1"/>
  <c r="H15" i="39"/>
  <c r="U15" i="39" s="1"/>
  <c r="J15" i="39"/>
  <c r="W15" i="39" s="1"/>
  <c r="H41" i="39"/>
  <c r="U41" i="39" s="1"/>
  <c r="AB34" i="39"/>
  <c r="U40" i="39"/>
  <c r="S42" i="39"/>
  <c r="AA41" i="39"/>
  <c r="J19" i="40"/>
  <c r="AC19" i="40" s="1"/>
  <c r="J50" i="40"/>
  <c r="B54" i="72"/>
  <c r="H103" i="9"/>
  <c r="D8" i="53" s="1"/>
  <c r="B16" i="53"/>
  <c r="B33" i="72" s="1"/>
  <c r="C7" i="37"/>
  <c r="C7" i="34"/>
  <c r="C7" i="36"/>
  <c r="W35" i="40"/>
  <c r="A118" i="9"/>
  <c r="A4" i="52"/>
  <c r="B41" i="72" s="1"/>
  <c r="A12" i="52"/>
  <c r="B56" i="72" s="1"/>
  <c r="G4" i="4"/>
  <c r="I4" i="4"/>
  <c r="K5" i="4"/>
  <c r="B47" i="48" s="1"/>
  <c r="A2" i="9"/>
  <c r="N2" i="43"/>
  <c r="F59" i="43"/>
  <c r="AZ20" i="3"/>
  <c r="AZ32" i="3"/>
  <c r="BL549" i="3"/>
  <c r="AZ549" i="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G157" i="3"/>
  <c r="BA159" i="3"/>
  <c r="AZ159" i="3"/>
  <c r="BL160" i="3"/>
  <c r="G161" i="3"/>
  <c r="BA163" i="3"/>
  <c r="AZ163" i="3"/>
  <c r="BL164" i="3"/>
  <c r="AZ164" i="3"/>
  <c r="G165" i="3"/>
  <c r="BA167" i="3"/>
  <c r="AZ167" i="3" s="1"/>
  <c r="BL168" i="3"/>
  <c r="G169" i="3"/>
  <c r="BA171" i="3"/>
  <c r="AZ171" i="3" s="1"/>
  <c r="BL172" i="3"/>
  <c r="G173" i="3"/>
  <c r="BA175" i="3"/>
  <c r="AZ175" i="3" s="1"/>
  <c r="BL176" i="3"/>
  <c r="AZ176" i="3" s="1"/>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55" i="3"/>
  <c r="AZ67" i="3"/>
  <c r="AZ71" i="3"/>
  <c r="AZ75" i="3"/>
  <c r="AZ79" i="3"/>
  <c r="AZ160" i="3"/>
  <c r="AZ168" i="3"/>
  <c r="AZ192" i="3"/>
  <c r="AZ200"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6" i="3"/>
  <c r="AZ158" i="3"/>
  <c r="AZ162" i="3"/>
  <c r="AZ166" i="3"/>
  <c r="AZ174" i="3"/>
  <c r="AZ178" i="3"/>
  <c r="AZ182" i="3"/>
  <c r="AZ190" i="3"/>
  <c r="AZ194" i="3"/>
  <c r="AZ198" i="3"/>
  <c r="BA16" i="3"/>
  <c r="BL303" i="3"/>
  <c r="G304" i="3"/>
  <c r="BA306" i="3"/>
  <c r="AZ306" i="3" s="1"/>
  <c r="BL307" i="3"/>
  <c r="AZ307" i="3" s="1"/>
  <c r="G308" i="3"/>
  <c r="BA310" i="3"/>
  <c r="AZ310" i="3" s="1"/>
  <c r="BL311" i="3"/>
  <c r="AZ311" i="3" s="1"/>
  <c r="G312" i="3"/>
  <c r="BA314" i="3"/>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s="1"/>
  <c r="BL352" i="3"/>
  <c r="G353" i="3"/>
  <c r="BA357" i="3"/>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BL384" i="3"/>
  <c r="AZ384" i="3" s="1"/>
  <c r="G385" i="3"/>
  <c r="BA387" i="3"/>
  <c r="AZ387" i="3" s="1"/>
  <c r="BL388" i="3"/>
  <c r="G389" i="3"/>
  <c r="BA391" i="3"/>
  <c r="AZ391" i="3" s="1"/>
  <c r="BL392" i="3"/>
  <c r="G393" i="3"/>
  <c r="AZ275" i="3"/>
  <c r="AZ287" i="3"/>
  <c r="AZ295" i="3"/>
  <c r="AZ299" i="3"/>
  <c r="BO5" i="3"/>
  <c r="BM5" i="3"/>
  <c r="F29" i="6" s="1"/>
  <c r="BJ5" i="3"/>
  <c r="BH5" i="3"/>
  <c r="BF5" i="3"/>
  <c r="BD5" i="3"/>
  <c r="BQ5" i="3"/>
  <c r="AC5" i="3"/>
  <c r="AZ506" i="3"/>
  <c r="G548" i="3"/>
  <c r="G538" i="3"/>
  <c r="G520" i="3"/>
  <c r="G502" i="3"/>
  <c r="BS5" i="3"/>
  <c r="BP5" i="3"/>
  <c r="BN5" i="3"/>
  <c r="BK5" i="3"/>
  <c r="BI5" i="3"/>
  <c r="BG5" i="3"/>
  <c r="BE5" i="3"/>
  <c r="BC5" i="3"/>
  <c r="G17" i="3"/>
  <c r="BA17" i="3"/>
  <c r="BT5" i="3"/>
  <c r="AZ352" i="3"/>
  <c r="AZ360" i="3"/>
  <c r="BA15" i="3"/>
  <c r="BB5" i="3"/>
  <c r="E8" i="6" s="1"/>
  <c r="BR5" i="3"/>
  <c r="G28" i="6" s="1"/>
  <c r="AZ380" i="3"/>
  <c r="AZ396" i="3"/>
  <c r="G509" i="3"/>
  <c r="BL493" i="3"/>
  <c r="AZ491" i="3"/>
  <c r="AZ493" i="3"/>
  <c r="U36" i="40"/>
  <c r="N4" i="43"/>
  <c r="F36" i="43"/>
  <c r="F81" i="43"/>
  <c r="H83" i="43" s="1"/>
  <c r="H113" i="43"/>
  <c r="N7" i="43"/>
  <c r="F70" i="43"/>
  <c r="H73" i="43" s="1"/>
  <c r="M6" i="43"/>
  <c r="M11" i="43"/>
  <c r="D17" i="43"/>
  <c r="F39" i="43"/>
  <c r="I17" i="43"/>
  <c r="F35" i="43"/>
  <c r="J17" i="43"/>
  <c r="F6" i="1"/>
  <c r="U17" i="39"/>
  <c r="S14" i="35"/>
  <c r="U43" i="21"/>
  <c r="U35" i="21"/>
  <c r="AC35" i="21"/>
  <c r="U10" i="21"/>
  <c r="G8" i="1"/>
  <c r="G9" i="1"/>
  <c r="G10" i="1"/>
  <c r="F48" i="9"/>
  <c r="O52" i="9" s="1"/>
  <c r="AZ501" i="3"/>
  <c r="W37" i="37"/>
  <c r="W44" i="34"/>
  <c r="AC44" i="34"/>
  <c r="S15"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4" i="3"/>
  <c r="AZ386" i="3"/>
  <c r="C40" i="11"/>
  <c r="AZ223" i="3"/>
  <c r="AZ232" i="3"/>
  <c r="AZ235" i="3"/>
  <c r="AZ248" i="3"/>
  <c r="AZ251" i="3"/>
  <c r="AZ271" i="3"/>
  <c r="AZ280" i="3"/>
  <c r="AZ288" i="3"/>
  <c r="AZ117" i="3"/>
  <c r="AZ133" i="3"/>
  <c r="AZ21" i="3"/>
  <c r="AZ42" i="3"/>
  <c r="AZ53" i="3"/>
  <c r="AZ58" i="3"/>
  <c r="AZ69" i="3"/>
  <c r="AZ77" i="3"/>
  <c r="AZ82" i="3"/>
  <c r="AZ86" i="3"/>
  <c r="AZ94"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7" i="3"/>
  <c r="AZ433" i="3"/>
  <c r="AZ465" i="3"/>
  <c r="W12" i="33"/>
  <c r="AC12" i="33"/>
  <c r="AA32" i="36"/>
  <c r="S32" i="36"/>
  <c r="AZ408" i="3"/>
  <c r="AZ457" i="3"/>
  <c r="AZ473" i="3"/>
  <c r="AZ490" i="3"/>
  <c r="AA39" i="34"/>
  <c r="F28" i="6"/>
  <c r="BL14" i="3"/>
  <c r="U30" i="33"/>
  <c r="AC13" i="34"/>
  <c r="AA47" i="34"/>
  <c r="W28" i="37"/>
  <c r="S19" i="39"/>
  <c r="F12" i="33"/>
  <c r="H12" i="39"/>
  <c r="AB12" i="39" s="1"/>
  <c r="F39" i="40"/>
  <c r="BA14" i="3"/>
  <c r="AZ14" i="3"/>
  <c r="AZ367" i="3"/>
  <c r="AZ234" i="3"/>
  <c r="AZ250" i="3"/>
  <c r="AZ286" i="3"/>
  <c r="AZ297" i="3"/>
  <c r="AZ157" i="3"/>
  <c r="AZ173" i="3"/>
  <c r="AZ189" i="3"/>
  <c r="AZ19" i="3"/>
  <c r="S12" i="1"/>
  <c r="AQ12" i="1" s="1"/>
  <c r="R12" i="1"/>
  <c r="B12" i="1"/>
  <c r="E12" i="1" s="1"/>
  <c r="S10" i="1"/>
  <c r="AQ10" i="1" s="1"/>
  <c r="R10" i="1"/>
  <c r="B10" i="1"/>
  <c r="E10" i="1"/>
  <c r="AZ80" i="3"/>
  <c r="AZ84" i="3"/>
  <c r="K12" i="1"/>
  <c r="M12" i="1" s="1"/>
  <c r="S13" i="1"/>
  <c r="AR13" i="1" s="1"/>
  <c r="R13" i="1"/>
  <c r="S11" i="1"/>
  <c r="AQ11" i="1" s="1"/>
  <c r="R11" i="1"/>
  <c r="S9" i="1"/>
  <c r="AR9" i="1" s="1"/>
  <c r="R9" i="1"/>
  <c r="J51" i="67"/>
  <c r="C42" i="1"/>
  <c r="H100" i="43"/>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U25" i="39"/>
  <c r="AB27" i="39"/>
  <c r="U31" i="39"/>
  <c r="S25" i="39"/>
  <c r="J21" i="39"/>
  <c r="F21" i="39"/>
  <c r="AA21" i="39" s="1"/>
  <c r="G95" i="39"/>
  <c r="H21" i="39"/>
  <c r="AB21" i="39" s="1"/>
  <c r="U19" i="39"/>
  <c r="AC15" i="39"/>
  <c r="AB15" i="39"/>
  <c r="AA12" i="39"/>
  <c r="S9" i="39"/>
  <c r="U14"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U9" i="37"/>
  <c r="AA13" i="37"/>
  <c r="AA12" i="37"/>
  <c r="H10" i="37"/>
  <c r="H6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E57" i="40"/>
  <c r="T10" i="1"/>
  <c r="E19" i="69"/>
  <c r="E19" i="68"/>
  <c r="E19" i="11"/>
  <c r="E1" i="73"/>
  <c r="G41" i="69"/>
  <c r="G22" i="69"/>
  <c r="G41" i="68"/>
  <c r="G22" i="68"/>
  <c r="G27" i="12"/>
  <c r="G26" i="12"/>
  <c r="G41" i="11"/>
  <c r="G22" i="11"/>
  <c r="G25" i="12"/>
  <c r="C100" i="43"/>
  <c r="C7" i="43"/>
  <c r="E81" i="43"/>
  <c r="B79" i="43" s="1"/>
  <c r="E70" i="43"/>
  <c r="B68" i="43" s="1"/>
  <c r="F100" i="43"/>
  <c r="H17" i="43"/>
  <c r="D9" i="53"/>
  <c r="B25" i="72" s="1"/>
  <c r="B24" i="72"/>
  <c r="G6" i="1"/>
  <c r="H85" i="43"/>
  <c r="H84" i="43"/>
  <c r="H70" i="43"/>
  <c r="C17" i="43"/>
  <c r="F33" i="43"/>
  <c r="K17" i="43"/>
  <c r="F34" i="43"/>
  <c r="M7" i="43"/>
  <c r="N6" i="43"/>
  <c r="F48" i="43" s="1"/>
  <c r="M2" i="43"/>
  <c r="C6" i="43"/>
  <c r="M10" i="43"/>
  <c r="N3" i="43"/>
  <c r="N11" i="43"/>
  <c r="F38" i="43"/>
  <c r="F37" i="43"/>
  <c r="M9" i="43"/>
  <c r="N12" i="43"/>
  <c r="N5" i="43"/>
  <c r="M5" i="43"/>
  <c r="M12" i="43"/>
  <c r="M4" i="43"/>
  <c r="B19" i="53"/>
  <c r="B37" i="72" s="1"/>
  <c r="C7" i="39"/>
  <c r="C68" i="39" s="1"/>
  <c r="C70" i="39"/>
  <c r="C7" i="35"/>
  <c r="C7" i="33"/>
  <c r="C58" i="33" s="1"/>
  <c r="D58" i="33" s="1"/>
  <c r="C7" i="21"/>
  <c r="C58" i="21" s="1"/>
  <c r="C7" i="40"/>
  <c r="C63" i="40" s="1"/>
  <c r="M47" i="9"/>
  <c r="G19" i="43"/>
  <c r="C46" i="36"/>
  <c r="D46" i="36" s="1"/>
  <c r="E46" i="36" s="1"/>
  <c r="C59" i="34"/>
  <c r="D59" i="34" s="1"/>
  <c r="E59" i="34" s="1"/>
  <c r="F59" i="34" s="1"/>
  <c r="G59" i="34" s="1"/>
  <c r="H59" i="34" s="1"/>
  <c r="I59" i="34" s="1"/>
  <c r="C52" i="37"/>
  <c r="D52" i="37" s="1"/>
  <c r="E52" i="37" s="1"/>
  <c r="F52" i="37" s="1"/>
  <c r="G52" i="37" s="1"/>
  <c r="H52" i="37" s="1"/>
  <c r="A4" i="51"/>
  <c r="B6" i="72" s="1"/>
  <c r="C48" i="35"/>
  <c r="D48" i="35"/>
  <c r="E48" i="35" s="1"/>
  <c r="F48" i="35" s="1"/>
  <c r="G48" i="35" s="1"/>
  <c r="H48" i="35" s="1"/>
  <c r="I48" i="35" s="1"/>
  <c r="D58" i="21"/>
  <c r="C4" i="12"/>
  <c r="H62" i="43"/>
  <c r="H66" i="43"/>
  <c r="H61" i="43"/>
  <c r="H65" i="43"/>
  <c r="H60" i="43"/>
  <c r="H64" i="43"/>
  <c r="H59" i="43"/>
  <c r="H63" i="43"/>
  <c r="H67" i="43"/>
  <c r="H76" i="43"/>
  <c r="H72" i="43"/>
  <c r="H77" i="43"/>
  <c r="L20" i="6"/>
  <c r="E62" i="39"/>
  <c r="B6" i="1"/>
  <c r="E6" i="1" s="1"/>
  <c r="S8" i="1"/>
  <c r="AQ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AA13" i="39"/>
  <c r="S13" i="39"/>
  <c r="S14" i="39"/>
  <c r="AA14" i="39"/>
  <c r="AA27" i="39"/>
  <c r="S2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S33" i="21" s="1"/>
  <c r="J33" i="21"/>
  <c r="H33" i="21"/>
  <c r="AB33" i="21" s="1"/>
  <c r="F37" i="21"/>
  <c r="AA26" i="21"/>
  <c r="AB14" i="21"/>
  <c r="AB46" i="21"/>
  <c r="U40" i="21"/>
  <c r="AB31" i="21"/>
  <c r="U31" i="21"/>
  <c r="AC15"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42" i="21"/>
  <c r="F10" i="21"/>
  <c r="K145" i="21"/>
  <c r="W25" i="21"/>
  <c r="AA29" i="21"/>
  <c r="W31"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E63" i="39"/>
  <c r="T11" i="1"/>
  <c r="AQ9" i="1"/>
  <c r="AR11" i="1"/>
  <c r="D68" i="39"/>
  <c r="D70" i="39" s="1"/>
  <c r="T9" i="1"/>
  <c r="T13" i="1"/>
  <c r="C77" i="9"/>
  <c r="C74" i="9" s="1"/>
  <c r="S7" i="1"/>
  <c r="AQ7" i="1" s="1"/>
  <c r="E7" i="70"/>
  <c r="C24" i="12"/>
  <c r="AA39" i="40"/>
  <c r="S39" i="40"/>
  <c r="S12" i="33"/>
  <c r="AA12" i="33"/>
  <c r="J32" i="39"/>
  <c r="W32" i="39" s="1"/>
  <c r="H32" i="39"/>
  <c r="AB32" i="39" s="1"/>
  <c r="AA32"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U23" i="33"/>
  <c r="F23" i="33"/>
  <c r="G85" i="33"/>
  <c r="AC23" i="33"/>
  <c r="W23" i="33"/>
  <c r="AA19" i="33"/>
  <c r="H19" i="33"/>
  <c r="U19" i="33" s="1"/>
  <c r="G81" i="33"/>
  <c r="G79" i="33"/>
  <c r="H17" i="33"/>
  <c r="F17" i="33"/>
  <c r="W17" i="33"/>
  <c r="AC17" i="33"/>
  <c r="U10" i="33"/>
  <c r="AB10" i="33"/>
  <c r="AC10" i="33"/>
  <c r="W10" i="33"/>
  <c r="U33" i="21"/>
  <c r="AA23" i="21"/>
  <c r="J23" i="21"/>
  <c r="AC23" i="21" s="1"/>
  <c r="F85" i="21"/>
  <c r="G85" i="21"/>
  <c r="H23" i="21"/>
  <c r="S13" i="21"/>
  <c r="D6" i="52"/>
  <c r="D121" i="9"/>
  <c r="D7" i="52" s="1"/>
  <c r="K120" i="9"/>
  <c r="R22" i="31"/>
  <c r="B21" i="31" s="1"/>
  <c r="O19" i="43"/>
  <c r="E58" i="21"/>
  <c r="F58" i="21" s="1"/>
  <c r="G58" i="21" s="1"/>
  <c r="H58" i="21" s="1"/>
  <c r="L27" i="6"/>
  <c r="AP7" i="1"/>
  <c r="AB45" i="21"/>
  <c r="AC33" i="21"/>
  <c r="W33" i="21"/>
  <c r="AA33" i="21"/>
  <c r="W32" i="21"/>
  <c r="AC32" i="21"/>
  <c r="AB9" i="21"/>
  <c r="U9" i="21"/>
  <c r="S32" i="21"/>
  <c r="AC9" i="21"/>
  <c r="U32" i="21"/>
  <c r="AA10" i="21"/>
  <c r="S10" i="21"/>
  <c r="A18" i="62"/>
  <c r="B64" i="72" s="1"/>
  <c r="U32" i="39"/>
  <c r="W23" i="37"/>
  <c r="AC23" i="37"/>
  <c r="AB11" i="37"/>
  <c r="H63" i="37"/>
  <c r="I63" i="37" s="1"/>
  <c r="J63" i="37" s="1"/>
  <c r="K63" i="37" s="1"/>
  <c r="L63" i="37" s="1"/>
  <c r="M63" i="37" s="1"/>
  <c r="J11" i="37"/>
  <c r="W11" i="37" s="1"/>
  <c r="W10" i="37"/>
  <c r="AC10" i="37"/>
  <c r="AC10" i="34"/>
  <c r="W10" i="34"/>
  <c r="H70" i="34"/>
  <c r="I70" i="34"/>
  <c r="J70" i="34" s="1"/>
  <c r="K70" i="34" s="1"/>
  <c r="L70" i="34" s="1"/>
  <c r="M70" i="34" s="1"/>
  <c r="J11" i="34"/>
  <c r="W11" i="34" s="1"/>
  <c r="AC36" i="33"/>
  <c r="W36" i="33"/>
  <c r="W27" i="33"/>
  <c r="AA23" i="33"/>
  <c r="S23" i="33"/>
  <c r="AB19" i="33"/>
  <c r="AA17" i="33"/>
  <c r="S17" i="33"/>
  <c r="U17" i="33"/>
  <c r="AB17" i="33"/>
  <c r="U23" i="21"/>
  <c r="AB23" i="21"/>
  <c r="F1" i="67"/>
  <c r="Q52" i="67"/>
  <c r="AC11" i="37"/>
  <c r="AC11" i="34"/>
  <c r="R7" i="1"/>
  <c r="C13" i="12"/>
  <c r="F34" i="11"/>
  <c r="F11" i="12"/>
  <c r="F34" i="68"/>
  <c r="R8" i="1"/>
  <c r="AE7" i="1"/>
  <c r="AE8" i="1"/>
  <c r="AG6" i="1"/>
  <c r="H109" i="9"/>
  <c r="D16" i="53" s="1"/>
  <c r="D124" i="9"/>
  <c r="H14" i="74" s="1"/>
  <c r="B7" i="74" s="1"/>
  <c r="H112" i="9"/>
  <c r="D21" i="53" s="1"/>
  <c r="B39" i="72" s="1"/>
  <c r="H111" i="9"/>
  <c r="D126" i="9" s="1"/>
  <c r="D59" i="9"/>
  <c r="M55" i="9"/>
  <c r="AD3" i="71"/>
  <c r="M6" i="15"/>
  <c r="M22" i="67"/>
  <c r="F4" i="73"/>
  <c r="AO13" i="1"/>
  <c r="E9" i="76"/>
  <c r="B13" i="76"/>
  <c r="F37" i="67"/>
  <c r="F9" i="67"/>
  <c r="M6" i="67"/>
  <c r="D5" i="73"/>
  <c r="F36" i="15"/>
  <c r="AO9" i="1"/>
  <c r="M23" i="15"/>
  <c r="D3" i="73"/>
  <c r="B12" i="76"/>
  <c r="C76" i="15"/>
  <c r="M29" i="67"/>
  <c r="D6" i="73"/>
  <c r="F26" i="67"/>
  <c r="B9" i="76"/>
  <c r="AO11" i="1"/>
  <c r="J15" i="15"/>
  <c r="AO10" i="1"/>
  <c r="F3" i="73"/>
  <c r="F6" i="73"/>
  <c r="M24" i="15"/>
  <c r="F9" i="15"/>
  <c r="E11" i="76"/>
  <c r="M22" i="15"/>
  <c r="D2" i="35"/>
  <c r="F37" i="15"/>
  <c r="E8" i="76"/>
  <c r="D2" i="33"/>
  <c r="F16" i="15"/>
  <c r="M23" i="67"/>
  <c r="D2" i="36"/>
  <c r="AO12" i="1"/>
  <c r="F41" i="67"/>
  <c r="M8" i="67"/>
  <c r="F38" i="67"/>
  <c r="L47" i="67"/>
  <c r="F20" i="31"/>
  <c r="AO7" i="1"/>
  <c r="F8" i="67"/>
  <c r="D2" i="37"/>
  <c r="M26" i="67"/>
  <c r="B10" i="76"/>
  <c r="F8" i="15"/>
  <c r="D2" i="21"/>
  <c r="M29" i="15"/>
  <c r="E7" i="76"/>
  <c r="L48" i="15"/>
  <c r="F26" i="15"/>
  <c r="J15" i="67"/>
  <c r="F35" i="67"/>
  <c r="E2" i="69"/>
  <c r="F7" i="67"/>
  <c r="B8" i="76"/>
  <c r="F43" i="67"/>
  <c r="E10" i="76"/>
  <c r="F13" i="15"/>
  <c r="F36" i="67"/>
  <c r="L47" i="15"/>
  <c r="F7" i="15"/>
  <c r="F16" i="67"/>
  <c r="F42" i="15"/>
  <c r="M9" i="15"/>
  <c r="D7" i="73"/>
  <c r="M21" i="67"/>
  <c r="D4" i="73"/>
  <c r="E13" i="76"/>
  <c r="F43" i="15"/>
  <c r="M28" i="67"/>
  <c r="M27" i="15"/>
  <c r="M27" i="67"/>
  <c r="B7" i="76"/>
  <c r="E2" i="68"/>
  <c r="B11" i="76"/>
  <c r="C76" i="67"/>
  <c r="F40" i="15"/>
  <c r="AO8" i="1"/>
  <c r="F40" i="67"/>
  <c r="M26" i="15"/>
  <c r="M8" i="15"/>
  <c r="D2" i="34"/>
  <c r="F5" i="73"/>
  <c r="F13" i="67"/>
  <c r="M9" i="67"/>
  <c r="M24" i="67"/>
  <c r="L48" i="67"/>
  <c r="M28" i="15"/>
  <c r="F7" i="73"/>
  <c r="F6" i="67"/>
  <c r="F42" i="67"/>
  <c r="E12" i="76"/>
  <c r="F38" i="15"/>
  <c r="H88" i="43" l="1"/>
  <c r="H81" i="43"/>
  <c r="H86" i="43"/>
  <c r="AE10" i="43"/>
  <c r="F27" i="6"/>
  <c r="E36" i="6" s="1"/>
  <c r="E56" i="39"/>
  <c r="E51" i="40"/>
  <c r="H110" i="9"/>
  <c r="D18" i="53" s="1"/>
  <c r="B35" i="72" s="1"/>
  <c r="W23" i="21"/>
  <c r="AZ362" i="3"/>
  <c r="W12" i="37"/>
  <c r="AC12" i="37"/>
  <c r="AZ379" i="3"/>
  <c r="AZ357" i="3"/>
  <c r="AZ318" i="3"/>
  <c r="AZ372" i="3"/>
  <c r="AZ355" i="3"/>
  <c r="AZ337" i="3"/>
  <c r="AZ305" i="3"/>
  <c r="AZ555" i="3"/>
  <c r="AZ497" i="3"/>
  <c r="AZ544" i="3"/>
  <c r="AZ564" i="3"/>
  <c r="AZ580" i="3"/>
  <c r="U13" i="33"/>
  <c r="W13" i="36"/>
  <c r="AB14" i="40"/>
  <c r="U14" i="40"/>
  <c r="U11" i="35"/>
  <c r="AB11" i="35"/>
  <c r="AA45" i="33"/>
  <c r="S45" i="33"/>
  <c r="S13" i="33"/>
  <c r="AA13" i="33"/>
  <c r="W46" i="21"/>
  <c r="AC46" i="21"/>
  <c r="U17" i="34"/>
  <c r="AB17" i="34"/>
  <c r="AC33" i="37"/>
  <c r="W33" i="37"/>
  <c r="AC44" i="39"/>
  <c r="W44" i="39"/>
  <c r="BA587" i="3"/>
  <c r="AZ587" i="3" s="1"/>
  <c r="BA586" i="3"/>
  <c r="H13" i="21"/>
  <c r="J13" i="21"/>
  <c r="J27" i="21"/>
  <c r="F27" i="21"/>
  <c r="B74" i="43"/>
  <c r="C27" i="39"/>
  <c r="AC40" i="33"/>
  <c r="W40" i="33"/>
  <c r="AC8" i="34"/>
  <c r="W8" i="34"/>
  <c r="J12" i="34"/>
  <c r="F12" i="34"/>
  <c r="S12" i="34" s="1"/>
  <c r="AA27" i="35"/>
  <c r="S27" i="35"/>
  <c r="W27" i="35"/>
  <c r="AC27" i="35"/>
  <c r="U8" i="36"/>
  <c r="AB8" i="36"/>
  <c r="J23" i="36"/>
  <c r="F23" i="36"/>
  <c r="AB30" i="37"/>
  <c r="U30" i="37"/>
  <c r="J9" i="37"/>
  <c r="F9" i="37"/>
  <c r="H14" i="37"/>
  <c r="J14" i="37"/>
  <c r="H27" i="37"/>
  <c r="F27" i="37"/>
  <c r="H25" i="37"/>
  <c r="J25" i="37"/>
  <c r="AC9" i="39"/>
  <c r="W9" i="39"/>
  <c r="AA44" i="39"/>
  <c r="S44" i="39"/>
  <c r="J13" i="39"/>
  <c r="H13" i="39"/>
  <c r="F31" i="39"/>
  <c r="J31" i="39"/>
  <c r="J43" i="39"/>
  <c r="H43" i="39"/>
  <c r="H45" i="39"/>
  <c r="J45" i="39"/>
  <c r="AA38" i="39"/>
  <c r="S38" i="39"/>
  <c r="S9" i="40"/>
  <c r="AA9" i="40"/>
  <c r="AA34" i="40"/>
  <c r="S34" i="40"/>
  <c r="U39" i="40"/>
  <c r="AB39" i="40"/>
  <c r="J12" i="40"/>
  <c r="H12" i="40"/>
  <c r="AA38" i="40"/>
  <c r="S38" i="40"/>
  <c r="AA40" i="33"/>
  <c r="S40" i="33"/>
  <c r="BL568" i="3"/>
  <c r="BA567" i="3"/>
  <c r="BA566" i="3"/>
  <c r="AZ566" i="3" s="1"/>
  <c r="BL563" i="3"/>
  <c r="BA563" i="3"/>
  <c r="AZ563" i="3" s="1"/>
  <c r="BL562" i="3"/>
  <c r="BA562" i="3"/>
  <c r="AZ562" i="3" s="1"/>
  <c r="BL561" i="3"/>
  <c r="AZ561" i="3" s="1"/>
  <c r="BL560" i="3"/>
  <c r="AZ560" i="3" s="1"/>
  <c r="BA559" i="3"/>
  <c r="BL558" i="3"/>
  <c r="BA558" i="3"/>
  <c r="BA556" i="3"/>
  <c r="AZ556" i="3" s="1"/>
  <c r="BA524" i="3"/>
  <c r="AZ524" i="3" s="1"/>
  <c r="BA523" i="3"/>
  <c r="BL522" i="3"/>
  <c r="AZ522" i="3" s="1"/>
  <c r="BL521" i="3"/>
  <c r="AZ521" i="3" s="1"/>
  <c r="BA521" i="3"/>
  <c r="BA520" i="3"/>
  <c r="AZ520" i="3" s="1"/>
  <c r="BL518" i="3"/>
  <c r="BL517" i="3"/>
  <c r="BA517" i="3"/>
  <c r="BA516" i="3"/>
  <c r="AZ516" i="3" s="1"/>
  <c r="BA513" i="3"/>
  <c r="BL512" i="3"/>
  <c r="BA512" i="3"/>
  <c r="BL510" i="3"/>
  <c r="BA510" i="3"/>
  <c r="BL509" i="3"/>
  <c r="AZ509" i="3" s="1"/>
  <c r="BA508" i="3"/>
  <c r="AZ508" i="3" s="1"/>
  <c r="BA507" i="3"/>
  <c r="BA504" i="3"/>
  <c r="AZ504" i="3" s="1"/>
  <c r="BA503" i="3"/>
  <c r="BL502" i="3"/>
  <c r="BA502" i="3"/>
  <c r="AZ502" i="3" s="1"/>
  <c r="BL500" i="3"/>
  <c r="AZ500" i="3" s="1"/>
  <c r="BA499" i="3"/>
  <c r="AZ499" i="3" s="1"/>
  <c r="BA498" i="3"/>
  <c r="AZ498" i="3" s="1"/>
  <c r="BA496" i="3"/>
  <c r="AZ496" i="3" s="1"/>
  <c r="BA495" i="3"/>
  <c r="BL494" i="3"/>
  <c r="G493" i="3"/>
  <c r="H5" i="3"/>
  <c r="AB43" i="33"/>
  <c r="U43" i="33"/>
  <c r="AZ559" i="3"/>
  <c r="AZ494" i="3"/>
  <c r="AZ518" i="3"/>
  <c r="AA14" i="40"/>
  <c r="S14" i="40"/>
  <c r="U33" i="40"/>
  <c r="AB33" i="40"/>
  <c r="AC14" i="39"/>
  <c r="W14" i="39"/>
  <c r="AA11" i="36"/>
  <c r="S11" i="36"/>
  <c r="AC11" i="35"/>
  <c r="W11" i="35"/>
  <c r="W30" i="34"/>
  <c r="AC30" i="34"/>
  <c r="W45" i="33"/>
  <c r="AC45" i="33"/>
  <c r="AC29" i="33"/>
  <c r="W29" i="33"/>
  <c r="U26" i="33"/>
  <c r="AB26" i="33"/>
  <c r="AC44" i="21"/>
  <c r="W44" i="21"/>
  <c r="W28" i="21"/>
  <c r="AC28" i="21"/>
  <c r="S29" i="35"/>
  <c r="AA29" i="35"/>
  <c r="AC16" i="35"/>
  <c r="W16" i="35"/>
  <c r="AC27" i="39"/>
  <c r="W27" i="39"/>
  <c r="AA35" i="39"/>
  <c r="S35" i="39"/>
  <c r="J45" i="21"/>
  <c r="F45" i="21"/>
  <c r="B70" i="43"/>
  <c r="C15" i="39"/>
  <c r="AB34" i="34"/>
  <c r="U34" i="34"/>
  <c r="AA35" i="34"/>
  <c r="S35" i="34"/>
  <c r="H23" i="35"/>
  <c r="J23" i="35"/>
  <c r="J35" i="35"/>
  <c r="H35" i="35"/>
  <c r="J24" i="36"/>
  <c r="H24" i="36"/>
  <c r="W31" i="36"/>
  <c r="AC31" i="36"/>
  <c r="H13" i="37"/>
  <c r="J13" i="37"/>
  <c r="J26" i="37"/>
  <c r="F26" i="37"/>
  <c r="F36" i="39"/>
  <c r="J36" i="39"/>
  <c r="BL584" i="3"/>
  <c r="AZ584" i="3" s="1"/>
  <c r="BA583" i="3"/>
  <c r="BA582" i="3"/>
  <c r="AZ582" i="3" s="1"/>
  <c r="BL581" i="3"/>
  <c r="AZ581" i="3" s="1"/>
  <c r="BL579" i="3"/>
  <c r="BA579" i="3"/>
  <c r="BL578" i="3"/>
  <c r="BA578" i="3"/>
  <c r="AZ578" i="3" s="1"/>
  <c r="BL576" i="3"/>
  <c r="BA575" i="3"/>
  <c r="BA574" i="3"/>
  <c r="AZ574" i="3" s="1"/>
  <c r="BL571" i="3"/>
  <c r="BA571" i="3"/>
  <c r="BL570" i="3"/>
  <c r="BA570" i="3"/>
  <c r="BA554" i="3"/>
  <c r="AZ554" i="3" s="1"/>
  <c r="BA553" i="3"/>
  <c r="BL552" i="3"/>
  <c r="AZ552" i="3" s="1"/>
  <c r="BA552" i="3"/>
  <c r="BL551" i="3"/>
  <c r="BA551" i="3"/>
  <c r="BL550" i="3"/>
  <c r="BA550" i="3"/>
  <c r="BA547" i="3"/>
  <c r="BL546" i="3"/>
  <c r="BA546" i="3"/>
  <c r="AZ546" i="3" s="1"/>
  <c r="BA543" i="3"/>
  <c r="BL540" i="3"/>
  <c r="AZ540" i="3" s="1"/>
  <c r="BA539" i="3"/>
  <c r="BL538" i="3"/>
  <c r="AZ538" i="3" s="1"/>
  <c r="BA538" i="3"/>
  <c r="BA535" i="3"/>
  <c r="BA531" i="3"/>
  <c r="BL530" i="3"/>
  <c r="AZ530" i="3" s="1"/>
  <c r="BA528" i="3"/>
  <c r="AZ528" i="3" s="1"/>
  <c r="BA527" i="3"/>
  <c r="BL15" i="3"/>
  <c r="AZ15" i="3" s="1"/>
  <c r="AZ403" i="3"/>
  <c r="AZ418" i="3"/>
  <c r="AZ422" i="3"/>
  <c r="AZ434" i="3"/>
  <c r="AZ450" i="3"/>
  <c r="AZ454" i="3"/>
  <c r="AZ459" i="3"/>
  <c r="AA21" i="33"/>
  <c r="S21" i="33"/>
  <c r="AB21" i="34"/>
  <c r="U21" i="34"/>
  <c r="Z12" i="43"/>
  <c r="Z10" i="43"/>
  <c r="AD12" i="43"/>
  <c r="AD10" i="43"/>
  <c r="AF12" i="43"/>
  <c r="AF10" i="43"/>
  <c r="AH12" i="43"/>
  <c r="AH10" i="43"/>
  <c r="AJ12" i="43"/>
  <c r="AJ10" i="43"/>
  <c r="AB10" i="71"/>
  <c r="AB13" i="71"/>
  <c r="AB12" i="71"/>
  <c r="Y11" i="71"/>
  <c r="Z11" i="71" s="1"/>
  <c r="Y13" i="71"/>
  <c r="Z13" i="71" s="1"/>
  <c r="AA11" i="71"/>
  <c r="AB11" i="71"/>
  <c r="Y3" i="71"/>
  <c r="Z3" i="71" s="1"/>
  <c r="AZ394" i="3"/>
  <c r="AZ325" i="3"/>
  <c r="BL503" i="3"/>
  <c r="BL507" i="3"/>
  <c r="BL511" i="3"/>
  <c r="AZ511" i="3" s="1"/>
  <c r="BL519" i="3"/>
  <c r="AZ519" i="3" s="1"/>
  <c r="BL523" i="3"/>
  <c r="BL527" i="3"/>
  <c r="BL531" i="3"/>
  <c r="BL535" i="3"/>
  <c r="BL539" i="3"/>
  <c r="BL543" i="3"/>
  <c r="BL547" i="3"/>
  <c r="BL553" i="3"/>
  <c r="AZ553" i="3" s="1"/>
  <c r="BL565" i="3"/>
  <c r="AZ565" i="3" s="1"/>
  <c r="BL573" i="3"/>
  <c r="AZ573" i="3" s="1"/>
  <c r="BL583" i="3"/>
  <c r="AZ583" i="3" s="1"/>
  <c r="G557" i="3"/>
  <c r="BL586" i="3"/>
  <c r="G574" i="3"/>
  <c r="G558" i="3"/>
  <c r="G542" i="3"/>
  <c r="BL16" i="3"/>
  <c r="AZ16" i="3" s="1"/>
  <c r="BA398" i="3"/>
  <c r="AZ398" i="3" s="1"/>
  <c r="G401" i="3"/>
  <c r="G402" i="3"/>
  <c r="G406" i="3"/>
  <c r="G408" i="3"/>
  <c r="G409" i="3"/>
  <c r="BL409" i="3"/>
  <c r="BA410" i="3"/>
  <c r="AZ410" i="3" s="1"/>
  <c r="BL412" i="3"/>
  <c r="AZ412" i="3" s="1"/>
  <c r="BA413" i="3"/>
  <c r="AZ413" i="3" s="1"/>
  <c r="G416" i="3"/>
  <c r="BL416" i="3"/>
  <c r="AZ416" i="3" s="1"/>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G462" i="3"/>
  <c r="G464" i="3"/>
  <c r="BL464" i="3"/>
  <c r="AZ464" i="3" s="1"/>
  <c r="BA466" i="3"/>
  <c r="AZ466" i="3" s="1"/>
  <c r="BA468" i="3"/>
  <c r="AZ468" i="3" s="1"/>
  <c r="BA469" i="3"/>
  <c r="AZ469" i="3" s="1"/>
  <c r="BL469" i="3"/>
  <c r="G471" i="3"/>
  <c r="BL471" i="3"/>
  <c r="G473" i="3"/>
  <c r="G474" i="3"/>
  <c r="BL474" i="3"/>
  <c r="G476" i="3"/>
  <c r="BL476" i="3"/>
  <c r="G478" i="3"/>
  <c r="BL478" i="3"/>
  <c r="G480" i="3"/>
  <c r="BL480" i="3"/>
  <c r="G482" i="3"/>
  <c r="BL482" i="3"/>
  <c r="G484" i="3"/>
  <c r="BL484" i="3"/>
  <c r="G486" i="3"/>
  <c r="BL486" i="3"/>
  <c r="G488" i="3"/>
  <c r="BL488" i="3"/>
  <c r="G490" i="3"/>
  <c r="G491" i="3"/>
  <c r="G492" i="3"/>
  <c r="BL492" i="3"/>
  <c r="G307" i="3"/>
  <c r="BL308" i="3"/>
  <c r="AZ308" i="3" s="1"/>
  <c r="BL314" i="3"/>
  <c r="AZ314" i="3" s="1"/>
  <c r="BL317" i="3"/>
  <c r="AZ317" i="3" s="1"/>
  <c r="G323" i="3"/>
  <c r="BL324" i="3"/>
  <c r="AZ324" i="3" s="1"/>
  <c r="BL330" i="3"/>
  <c r="AZ330"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AC21" i="21"/>
  <c r="W21" i="21"/>
  <c r="AB21" i="21"/>
  <c r="U21" i="21"/>
  <c r="AC21" i="34"/>
  <c r="W21" i="34"/>
  <c r="W29" i="39"/>
  <c r="AC29" i="39"/>
  <c r="U29" i="39"/>
  <c r="AB29" i="39"/>
  <c r="W25" i="40"/>
  <c r="AC25" i="40"/>
  <c r="AA18" i="35"/>
  <c r="S18" i="35"/>
  <c r="AA25" i="40"/>
  <c r="S25" i="40"/>
  <c r="Y12" i="71"/>
  <c r="Z12" i="71"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K108" i="43"/>
  <c r="K100" i="43"/>
  <c r="F14" i="71"/>
  <c r="F13" i="71" s="1"/>
  <c r="F12" i="71" s="1"/>
  <c r="AB14" i="71"/>
  <c r="C13" i="71"/>
  <c r="D14" i="71"/>
  <c r="U14" i="71" s="1"/>
  <c r="T14" i="71"/>
  <c r="X14" i="71"/>
  <c r="B14" i="71"/>
  <c r="X13" i="71"/>
  <c r="C16" i="71"/>
  <c r="Y15" i="71"/>
  <c r="Z15" i="71" s="1"/>
  <c r="F16" i="71"/>
  <c r="F17" i="71" s="1"/>
  <c r="F18" i="71" s="1"/>
  <c r="V18" i="71" s="1"/>
  <c r="AB15" i="71"/>
  <c r="AB21" i="71"/>
  <c r="AB19" i="71"/>
  <c r="AA21" i="71"/>
  <c r="AA22" i="71"/>
  <c r="C24" i="71"/>
  <c r="Y20" i="71"/>
  <c r="Z20" i="71" s="1"/>
  <c r="Y18" i="71"/>
  <c r="Z18" i="71" s="1"/>
  <c r="F24" i="71"/>
  <c r="F25" i="71" s="1"/>
  <c r="F26" i="71" s="1"/>
  <c r="V26" i="71" s="1"/>
  <c r="AB23" i="71"/>
  <c r="C29" i="71"/>
  <c r="D28" i="71"/>
  <c r="C33" i="71"/>
  <c r="D33" i="71" s="1"/>
  <c r="D32" i="71"/>
  <c r="C49" i="71"/>
  <c r="D48" i="71"/>
  <c r="T54" i="71"/>
  <c r="D54" i="71"/>
  <c r="C53" i="71"/>
  <c r="T62" i="71"/>
  <c r="D62" i="71"/>
  <c r="G75" i="3"/>
  <c r="G76" i="3"/>
  <c r="BL76" i="3"/>
  <c r="AZ76" i="3" s="1"/>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AA10" i="71"/>
  <c r="E14" i="71"/>
  <c r="AA13" i="71"/>
  <c r="AB17" i="71"/>
  <c r="AA18" i="71"/>
  <c r="F22" i="71"/>
  <c r="V22" i="71" s="1"/>
  <c r="X20" i="71"/>
  <c r="X21" i="71"/>
  <c r="AC12" i="43"/>
  <c r="AC10" i="43"/>
  <c r="AG12" i="43"/>
  <c r="AG10" i="43"/>
  <c r="E21" i="71"/>
  <c r="E22" i="71" s="1"/>
  <c r="U22" i="71" s="1"/>
  <c r="B22" i="71"/>
  <c r="S22" i="71" s="1"/>
  <c r="B18" i="71"/>
  <c r="S18" i="71" s="1"/>
  <c r="E17" i="71"/>
  <c r="E18" i="71" s="1"/>
  <c r="U18" i="71" s="1"/>
  <c r="AB16" i="71"/>
  <c r="Y17" i="71"/>
  <c r="Z17" i="71" s="1"/>
  <c r="AB18" i="71"/>
  <c r="AB20" i="71"/>
  <c r="Y21" i="71"/>
  <c r="Z21" i="71" s="1"/>
  <c r="AB22" i="71"/>
  <c r="Y8" i="71"/>
  <c r="Z8" i="71" s="1"/>
  <c r="AB8" i="71"/>
  <c r="B11" i="72"/>
  <c r="B3" i="72"/>
  <c r="A15" i="62"/>
  <c r="B61" i="72" s="1"/>
  <c r="D1" i="66"/>
  <c r="E10" i="66" s="1"/>
  <c r="S34" i="39"/>
  <c r="AC32" i="39"/>
  <c r="U21" i="39"/>
  <c r="W19" i="39"/>
  <c r="S17" i="39"/>
  <c r="S15" i="39"/>
  <c r="W8" i="39"/>
  <c r="J13" i="77"/>
  <c r="J20" i="77"/>
  <c r="J21" i="77" s="1"/>
  <c r="K11" i="77"/>
  <c r="I23" i="77"/>
  <c r="I24" i="77" s="1"/>
  <c r="I22" i="77"/>
  <c r="G24" i="77"/>
  <c r="L5" i="77"/>
  <c r="K8" i="77"/>
  <c r="K10" i="77" s="1"/>
  <c r="J31" i="77" s="1"/>
  <c r="H22" i="77"/>
  <c r="J53" i="15"/>
  <c r="E10" i="43"/>
  <c r="E8" i="43"/>
  <c r="E11" i="43"/>
  <c r="E9" i="43"/>
  <c r="H52" i="43"/>
  <c r="G52" i="43" s="1"/>
  <c r="H49" i="43"/>
  <c r="G49" i="43" s="1"/>
  <c r="H53" i="43"/>
  <c r="G53" i="43" s="1"/>
  <c r="H55" i="43"/>
  <c r="G55" i="43" s="1"/>
  <c r="H56" i="43"/>
  <c r="G56" i="43" s="1"/>
  <c r="H48" i="43"/>
  <c r="G48" i="43" s="1"/>
  <c r="H54" i="43"/>
  <c r="G54" i="43" s="1"/>
  <c r="H51" i="43"/>
  <c r="G51" i="43" s="1"/>
  <c r="T35" i="4"/>
  <c r="A19" i="51" s="1"/>
  <c r="B14" i="72" s="1"/>
  <c r="H50" i="43"/>
  <c r="G50" i="43" s="1"/>
  <c r="H71" i="43"/>
  <c r="H78" i="43"/>
  <c r="H74" i="43"/>
  <c r="F32" i="15"/>
  <c r="F60" i="15" s="1"/>
  <c r="F31" i="12"/>
  <c r="C31" i="12" s="1"/>
  <c r="F32" i="67"/>
  <c r="F60" i="67" s="1"/>
  <c r="F30" i="11"/>
  <c r="C48" i="11" s="1"/>
  <c r="F54" i="9"/>
  <c r="M18" i="15"/>
  <c r="F30" i="69"/>
  <c r="C48" i="69" s="1"/>
  <c r="F28" i="67"/>
  <c r="C28" i="67" s="1"/>
  <c r="F30" i="68"/>
  <c r="C30" i="68" s="1"/>
  <c r="C36" i="68"/>
  <c r="C36" i="11"/>
  <c r="C30" i="11"/>
  <c r="D68" i="9"/>
  <c r="C30" i="69"/>
  <c r="C48" i="68"/>
  <c r="F28" i="15"/>
  <c r="C28" i="15" s="1"/>
  <c r="M18" i="67"/>
  <c r="F52" i="9"/>
  <c r="C40" i="69"/>
  <c r="T8" i="1"/>
  <c r="Q16" i="1"/>
  <c r="T12" i="1"/>
  <c r="M7" i="1"/>
  <c r="O7" i="1" s="1"/>
  <c r="G16" i="1"/>
  <c r="H10" i="40" s="1"/>
  <c r="U10" i="40" s="1"/>
  <c r="AR12" i="1"/>
  <c r="AR8" i="1"/>
  <c r="E29" i="6"/>
  <c r="K15" i="1" s="1"/>
  <c r="F30" i="6"/>
  <c r="F31" i="6" s="1"/>
  <c r="P6" i="1"/>
  <c r="T7" i="1"/>
  <c r="H16" i="1"/>
  <c r="D19" i="12"/>
  <c r="C19" i="12" s="1"/>
  <c r="E56" i="40"/>
  <c r="F27" i="69"/>
  <c r="C47" i="69" s="1"/>
  <c r="D45" i="69" s="1"/>
  <c r="F28" i="12"/>
  <c r="C29" i="12" s="1"/>
  <c r="D28" i="12" s="1"/>
  <c r="F27" i="11"/>
  <c r="F27" i="68"/>
  <c r="C29" i="68" s="1"/>
  <c r="D27" i="68" s="1"/>
  <c r="E16" i="6"/>
  <c r="AR7" i="1"/>
  <c r="D9" i="68"/>
  <c r="C9" i="68" s="1"/>
  <c r="E59" i="40"/>
  <c r="D9" i="69"/>
  <c r="C9" i="69" s="1"/>
  <c r="C36" i="69"/>
  <c r="AB10" i="40"/>
  <c r="B34" i="72"/>
  <c r="D17" i="53"/>
  <c r="B36" i="72" s="1"/>
  <c r="D19" i="53"/>
  <c r="D125" i="9"/>
  <c r="D11" i="52" s="1"/>
  <c r="D10" i="52"/>
  <c r="C65" i="40"/>
  <c r="D63" i="40"/>
  <c r="J10" i="39"/>
  <c r="E68" i="39"/>
  <c r="F10" i="39"/>
  <c r="I14" i="74"/>
  <c r="B8" i="74" s="1"/>
  <c r="D127" i="9"/>
  <c r="D13" i="52" s="1"/>
  <c r="D12" i="52"/>
  <c r="I58" i="21"/>
  <c r="J58" i="21" s="1"/>
  <c r="K58" i="21" s="1"/>
  <c r="L58" i="21" s="1"/>
  <c r="M58" i="21" s="1"/>
  <c r="N58" i="21" s="1"/>
  <c r="O58" i="21" s="1"/>
  <c r="I52" i="37"/>
  <c r="J52" i="37" s="1"/>
  <c r="K52" i="37" s="1"/>
  <c r="L52" i="37" s="1"/>
  <c r="M52" i="37" s="1"/>
  <c r="N52" i="37" s="1"/>
  <c r="O52" i="37" s="1"/>
  <c r="H7" i="37"/>
  <c r="J7" i="37"/>
  <c r="J59" i="34"/>
  <c r="K59" i="34" s="1"/>
  <c r="L59" i="34" s="1"/>
  <c r="M59" i="34" s="1"/>
  <c r="N59" i="34" s="1"/>
  <c r="O59" i="34" s="1"/>
  <c r="J48" i="35"/>
  <c r="K48" i="35" s="1"/>
  <c r="L48" i="35" s="1"/>
  <c r="M48" i="35" s="1"/>
  <c r="N48" i="35" s="1"/>
  <c r="O48" i="35" s="1"/>
  <c r="H7" i="35"/>
  <c r="F7" i="35"/>
  <c r="F7" i="36"/>
  <c r="F46" i="36"/>
  <c r="G46" i="36" s="1"/>
  <c r="H46" i="36" s="1"/>
  <c r="I46" i="36" s="1"/>
  <c r="J46" i="36" s="1"/>
  <c r="K46" i="36" s="1"/>
  <c r="L46" i="36" s="1"/>
  <c r="M46" i="36" s="1"/>
  <c r="N46" i="36" s="1"/>
  <c r="O46" i="36" s="1"/>
  <c r="J7" i="36"/>
  <c r="H7" i="36"/>
  <c r="E58" i="33"/>
  <c r="F58" i="33" s="1"/>
  <c r="G58" i="33" s="1"/>
  <c r="H58" i="33" s="1"/>
  <c r="I58" i="33" s="1"/>
  <c r="J58" i="33" s="1"/>
  <c r="K58" i="33" s="1"/>
  <c r="L58" i="33" s="1"/>
  <c r="M58" i="33" s="1"/>
  <c r="N58" i="33" s="1"/>
  <c r="O58" i="33" s="1"/>
  <c r="H7" i="21"/>
  <c r="F7" i="34"/>
  <c r="J7" i="21"/>
  <c r="J7" i="34"/>
  <c r="J7" i="35"/>
  <c r="F7" i="37"/>
  <c r="W25" i="33"/>
  <c r="U36" i="33"/>
  <c r="AB11" i="34"/>
  <c r="W19" i="37"/>
  <c r="AC17" i="21"/>
  <c r="W17" i="21"/>
  <c r="W37" i="21"/>
  <c r="AC37" i="21"/>
  <c r="U15" i="21"/>
  <c r="AB15" i="21"/>
  <c r="AA37" i="21"/>
  <c r="S37" i="21"/>
  <c r="M11" i="1"/>
  <c r="E66" i="39"/>
  <c r="O12" i="1"/>
  <c r="P12" i="1" s="1"/>
  <c r="G30" i="6"/>
  <c r="G31" i="6" s="1"/>
  <c r="E28" i="6"/>
  <c r="AR10" i="1"/>
  <c r="AA35" i="33"/>
  <c r="AC39" i="34"/>
  <c r="U44" i="34"/>
  <c r="U12" i="39"/>
  <c r="AA27" i="40"/>
  <c r="AB27" i="40"/>
  <c r="AA34" i="33"/>
  <c r="H82" i="43"/>
  <c r="H75" i="43"/>
  <c r="U12" i="37"/>
  <c r="AA41" i="34"/>
  <c r="AZ557" i="3"/>
  <c r="AZ495" i="3"/>
  <c r="AZ513" i="3"/>
  <c r="AZ517" i="3"/>
  <c r="AZ567" i="3"/>
  <c r="AZ571" i="3"/>
  <c r="AZ575" i="3"/>
  <c r="AZ579" i="3"/>
  <c r="AZ568" i="3"/>
  <c r="AZ576" i="3"/>
  <c r="AB35" i="35"/>
  <c r="U35" i="35"/>
  <c r="S13" i="35"/>
  <c r="AA13" i="35"/>
  <c r="W28" i="34"/>
  <c r="AC28" i="34"/>
  <c r="AA28" i="34"/>
  <c r="S28" i="34"/>
  <c r="AB33" i="35"/>
  <c r="U33" i="35"/>
  <c r="W11" i="40"/>
  <c r="AC11" i="40"/>
  <c r="U28" i="37"/>
  <c r="AB28" i="37"/>
  <c r="AC47" i="34"/>
  <c r="W47" i="34"/>
  <c r="AC31" i="34"/>
  <c r="W31" i="34"/>
  <c r="U30" i="21"/>
  <c r="AB30" i="21"/>
  <c r="AA41" i="33"/>
  <c r="S41" i="33"/>
  <c r="U23" i="34"/>
  <c r="AB23" i="34"/>
  <c r="W34" i="36"/>
  <c r="AC34" i="36"/>
  <c r="AA12" i="21"/>
  <c r="S12" i="21"/>
  <c r="O8" i="1"/>
  <c r="P8" i="1" s="1"/>
  <c r="AZ409" i="3"/>
  <c r="AZ425" i="3"/>
  <c r="AZ432" i="3"/>
  <c r="AZ445" i="3"/>
  <c r="U32" i="33"/>
  <c r="U8" i="33"/>
  <c r="AA39" i="37"/>
  <c r="AB12" i="36"/>
  <c r="AA12" i="34"/>
  <c r="AB12" i="33"/>
  <c r="S34" i="21"/>
  <c r="U38" i="40"/>
  <c r="U9" i="40"/>
  <c r="W33" i="33"/>
  <c r="U35" i="33"/>
  <c r="S9" i="33"/>
  <c r="F26" i="33"/>
  <c r="S34" i="34"/>
  <c r="U34" i="35"/>
  <c r="W22" i="35"/>
  <c r="W34" i="35"/>
  <c r="U31" i="35"/>
  <c r="W28" i="36"/>
  <c r="W8" i="36"/>
  <c r="AB41" i="21"/>
  <c r="H12" i="21"/>
  <c r="J12" i="21"/>
  <c r="H12" i="34"/>
  <c r="F12" i="35"/>
  <c r="H12" i="35"/>
  <c r="F25" i="37"/>
  <c r="G551" i="3"/>
  <c r="BL548" i="3"/>
  <c r="BL5" i="3" s="1"/>
  <c r="AZ399" i="3"/>
  <c r="AZ404" i="3"/>
  <c r="AZ411" i="3"/>
  <c r="AZ414" i="3"/>
  <c r="AZ421" i="3"/>
  <c r="AZ430" i="3"/>
  <c r="AZ440" i="3"/>
  <c r="AZ449" i="3"/>
  <c r="AZ453" i="3"/>
  <c r="AZ455" i="3"/>
  <c r="AZ460" i="3"/>
  <c r="O17" i="43"/>
  <c r="M17" i="43"/>
  <c r="N17" i="43"/>
  <c r="L17" i="43"/>
  <c r="E17" i="43"/>
  <c r="AZ467" i="3"/>
  <c r="AZ471" i="3"/>
  <c r="AZ474" i="3"/>
  <c r="AZ476" i="3"/>
  <c r="AZ478" i="3"/>
  <c r="AZ480" i="3"/>
  <c r="AZ482" i="3"/>
  <c r="AZ484" i="3"/>
  <c r="AZ486" i="3"/>
  <c r="AZ488" i="3"/>
  <c r="AZ492" i="3"/>
  <c r="AZ395" i="3"/>
  <c r="AZ208" i="3"/>
  <c r="AZ211" i="3"/>
  <c r="AZ219" i="3"/>
  <c r="AZ236" i="3"/>
  <c r="AZ252" i="3"/>
  <c r="AZ272" i="3"/>
  <c r="AZ276" i="3"/>
  <c r="AZ289" i="3"/>
  <c r="AZ294" i="3"/>
  <c r="AZ300" i="3"/>
  <c r="AZ118" i="3"/>
  <c r="AZ121" i="3"/>
  <c r="AZ134" i="3"/>
  <c r="AZ137" i="3"/>
  <c r="AZ145" i="3"/>
  <c r="AZ22" i="3"/>
  <c r="AZ54" i="3"/>
  <c r="AZ57" i="3"/>
  <c r="AZ70" i="3"/>
  <c r="AZ90" i="3"/>
  <c r="AZ92" i="3"/>
  <c r="AZ96" i="3"/>
  <c r="AZ99" i="3"/>
  <c r="AZ106" i="3"/>
  <c r="AZ112" i="3"/>
  <c r="S21" i="34"/>
  <c r="M100" i="43"/>
  <c r="I100" i="43"/>
  <c r="E100" i="43"/>
  <c r="D100" i="43"/>
  <c r="D23" i="67"/>
  <c r="C41" i="71"/>
  <c r="D40" i="71"/>
  <c r="AA15" i="71"/>
  <c r="K56" i="9"/>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F7" i="71"/>
  <c r="F6" i="71" s="1"/>
  <c r="F5" i="71" s="1"/>
  <c r="Y6" i="71"/>
  <c r="Z6" i="71" s="1"/>
  <c r="B7" i="49"/>
  <c r="C4" i="4" s="1"/>
  <c r="E7" i="49"/>
  <c r="B15" i="49"/>
  <c r="AB3" i="71"/>
  <c r="X3" i="71"/>
  <c r="E10" i="49"/>
  <c r="B6" i="49"/>
  <c r="E14" i="49"/>
  <c r="AF3" i="71"/>
  <c r="P24" i="43" s="1"/>
  <c r="B66" i="40" s="1"/>
  <c r="P22" i="43"/>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15"/>
  <c r="F31" i="67"/>
  <c r="F59" i="67"/>
  <c r="M17" i="67"/>
  <c r="F31" i="15"/>
  <c r="C16" i="67"/>
  <c r="C17" i="67"/>
  <c r="C16" i="15"/>
  <c r="C14" i="67"/>
  <c r="G1" i="73"/>
  <c r="P21" i="43" l="1"/>
  <c r="M50" i="43"/>
  <c r="N50" i="43" s="1"/>
  <c r="K50" i="43"/>
  <c r="M51" i="43"/>
  <c r="N51" i="43" s="1"/>
  <c r="K51" i="43"/>
  <c r="M48" i="43"/>
  <c r="N48" i="43" s="1"/>
  <c r="K48" i="43"/>
  <c r="M55" i="43"/>
  <c r="N55" i="43" s="1"/>
  <c r="K55" i="43"/>
  <c r="J55" i="43" s="1"/>
  <c r="D55" i="43" s="1"/>
  <c r="K49" i="43"/>
  <c r="M49" i="43"/>
  <c r="N49" i="43" s="1"/>
  <c r="E13" i="71"/>
  <c r="E12" i="71" s="1"/>
  <c r="V14" i="71"/>
  <c r="C25" i="71"/>
  <c r="D24" i="71"/>
  <c r="D16" i="71"/>
  <c r="C17" i="71"/>
  <c r="B13" i="71"/>
  <c r="B12" i="71" s="1"/>
  <c r="S14" i="71"/>
  <c r="D13" i="71"/>
  <c r="C12" i="71"/>
  <c r="D12" i="71" s="1"/>
  <c r="AZ531" i="3"/>
  <c r="AZ539" i="3"/>
  <c r="AZ543" i="3"/>
  <c r="AZ550" i="3"/>
  <c r="AZ551" i="3"/>
  <c r="AZ570" i="3"/>
  <c r="S36" i="39"/>
  <c r="AA36" i="39"/>
  <c r="AC26" i="37"/>
  <c r="W26" i="37"/>
  <c r="AB13" i="37"/>
  <c r="U13" i="37"/>
  <c r="AC24" i="36"/>
  <c r="W24" i="36"/>
  <c r="AC35" i="35"/>
  <c r="W35" i="35"/>
  <c r="U23" i="35"/>
  <c r="AB23" i="35"/>
  <c r="W45" i="21"/>
  <c r="AC45" i="21"/>
  <c r="AZ510" i="3"/>
  <c r="AZ512" i="3"/>
  <c r="AZ558" i="3"/>
  <c r="AB12" i="40"/>
  <c r="U12" i="40"/>
  <c r="W45" i="39"/>
  <c r="AC45" i="39"/>
  <c r="AB43" i="39"/>
  <c r="U43" i="39"/>
  <c r="AC31" i="39"/>
  <c r="W31" i="39"/>
  <c r="AB13" i="39"/>
  <c r="U13" i="39"/>
  <c r="AC25" i="37"/>
  <c r="W25" i="37"/>
  <c r="AA27" i="37"/>
  <c r="S27" i="37"/>
  <c r="AC14" i="37"/>
  <c r="W14" i="37"/>
  <c r="S9" i="37"/>
  <c r="AA9" i="37"/>
  <c r="AA23" i="36"/>
  <c r="S23" i="36"/>
  <c r="AA27" i="21"/>
  <c r="S27" i="21"/>
  <c r="AC13" i="21"/>
  <c r="W13" i="21"/>
  <c r="M54" i="43"/>
  <c r="N54" i="43" s="1"/>
  <c r="K54" i="43"/>
  <c r="K56" i="43"/>
  <c r="M56" i="43"/>
  <c r="N56" i="43" s="1"/>
  <c r="K53" i="43"/>
  <c r="M53" i="43"/>
  <c r="N53" i="43" s="1"/>
  <c r="K52" i="43"/>
  <c r="J52" i="43" s="1"/>
  <c r="M52" i="43"/>
  <c r="N52" i="43" s="1"/>
  <c r="C52" i="71"/>
  <c r="D53" i="71"/>
  <c r="O53" i="71"/>
  <c r="D49" i="71"/>
  <c r="C50" i="71"/>
  <c r="D29" i="71"/>
  <c r="C30" i="71"/>
  <c r="AZ23" i="3"/>
  <c r="BA5" i="3"/>
  <c r="E27" i="6" s="1"/>
  <c r="AZ527" i="3"/>
  <c r="AZ535" i="3"/>
  <c r="AZ547" i="3"/>
  <c r="AC36" i="39"/>
  <c r="W36" i="39"/>
  <c r="AA26" i="37"/>
  <c r="S26" i="37"/>
  <c r="W13" i="37"/>
  <c r="AC13" i="37"/>
  <c r="AB24" i="36"/>
  <c r="U24" i="36"/>
  <c r="AC23" i="35"/>
  <c r="W23" i="35"/>
  <c r="AA45" i="21"/>
  <c r="S45" i="21"/>
  <c r="AZ503" i="3"/>
  <c r="AZ507" i="3"/>
  <c r="AZ523" i="3"/>
  <c r="W12" i="40"/>
  <c r="AC12" i="40"/>
  <c r="U45" i="39"/>
  <c r="AB45" i="39"/>
  <c r="AC43" i="39"/>
  <c r="W43" i="39"/>
  <c r="AA31" i="39"/>
  <c r="S31" i="39"/>
  <c r="W13" i="39"/>
  <c r="AC13" i="39"/>
  <c r="U25" i="37"/>
  <c r="AB25" i="37"/>
  <c r="U27" i="37"/>
  <c r="AB27" i="37"/>
  <c r="AB14" i="37"/>
  <c r="U14" i="37"/>
  <c r="W9" i="37"/>
  <c r="AC9" i="37"/>
  <c r="AC23" i="36"/>
  <c r="W23" i="36"/>
  <c r="W12" i="34"/>
  <c r="AC12" i="34"/>
  <c r="W27" i="21"/>
  <c r="AC27" i="21"/>
  <c r="AB13" i="21"/>
  <c r="U13" i="21"/>
  <c r="AZ586" i="3"/>
  <c r="B73" i="72"/>
  <c r="E26" i="66"/>
  <c r="U6" i="1" s="1"/>
  <c r="J22" i="77"/>
  <c r="J23" i="77" s="1"/>
  <c r="J24" i="77" s="1"/>
  <c r="H23" i="77"/>
  <c r="M5" i="77"/>
  <c r="L8" i="77"/>
  <c r="L10" i="77" s="1"/>
  <c r="K31" i="77" s="1"/>
  <c r="L11" i="77"/>
  <c r="K13" i="77"/>
  <c r="K20" i="77" s="1"/>
  <c r="K21" i="77" s="1"/>
  <c r="Q52" i="15"/>
  <c r="F1" i="15"/>
  <c r="C29" i="69"/>
  <c r="D27" i="69" s="1"/>
  <c r="C47" i="68"/>
  <c r="D45" i="68" s="1"/>
  <c r="G17" i="43"/>
  <c r="C16" i="43" s="1"/>
  <c r="C5" i="43" s="1"/>
  <c r="J10" i="40"/>
  <c r="AC10" i="40" s="1"/>
  <c r="F10" i="40"/>
  <c r="AA10" i="40" s="1"/>
  <c r="H10" i="39"/>
  <c r="U10" i="39" s="1"/>
  <c r="P7" i="1"/>
  <c r="C29" i="11"/>
  <c r="D27" i="11" s="1"/>
  <c r="C47" i="11"/>
  <c r="D45" i="11" s="1"/>
  <c r="W10" i="40"/>
  <c r="B38" i="72"/>
  <c r="D20" i="53"/>
  <c r="B40" i="72" s="1"/>
  <c r="K4" i="4"/>
  <c r="B46" i="48" s="1"/>
  <c r="B4" i="62"/>
  <c r="J7" i="33"/>
  <c r="W7" i="33" s="1"/>
  <c r="F7" i="21"/>
  <c r="S10" i="39"/>
  <c r="AA10" i="39"/>
  <c r="AC10" i="39"/>
  <c r="W10" i="39"/>
  <c r="E63" i="40"/>
  <c r="D65" i="40"/>
  <c r="F68" i="39"/>
  <c r="E70" i="39"/>
  <c r="D5" i="43"/>
  <c r="T10" i="71"/>
  <c r="D10" i="71"/>
  <c r="U10" i="71" s="1"/>
  <c r="C9" i="71"/>
  <c r="E9" i="71"/>
  <c r="E8" i="71" s="1"/>
  <c r="E7" i="71" s="1"/>
  <c r="E6" i="71" s="1"/>
  <c r="V10" i="71"/>
  <c r="C42" i="71"/>
  <c r="D41" i="71"/>
  <c r="AA25" i="37"/>
  <c r="S25" i="37"/>
  <c r="S12" i="35"/>
  <c r="AA12" i="35"/>
  <c r="AC12" i="21"/>
  <c r="W12" i="21"/>
  <c r="AA26" i="33"/>
  <c r="S26" i="33"/>
  <c r="AA7" i="37"/>
  <c r="R42" i="37" s="1"/>
  <c r="S7" i="37"/>
  <c r="AC7" i="34"/>
  <c r="V49" i="34" s="1"/>
  <c r="I49" i="34" s="1"/>
  <c r="W7" i="34"/>
  <c r="S7" i="34"/>
  <c r="AA7" i="34"/>
  <c r="R49" i="34" s="1"/>
  <c r="AC7" i="33"/>
  <c r="V48" i="33" s="1"/>
  <c r="I48" i="33" s="1"/>
  <c r="AC7" i="36"/>
  <c r="V36" i="36" s="1"/>
  <c r="I36" i="36" s="1"/>
  <c r="W7" i="36"/>
  <c r="S7" i="36"/>
  <c r="AA7" i="36"/>
  <c r="R36" i="36" s="1"/>
  <c r="U7" i="35"/>
  <c r="AB7" i="35"/>
  <c r="T38" i="35" s="1"/>
  <c r="G38" i="35" s="1"/>
  <c r="U7" i="37"/>
  <c r="AB7" i="37"/>
  <c r="T42" i="37" s="1"/>
  <c r="G42" i="37" s="1"/>
  <c r="S7" i="21"/>
  <c r="AA7" i="21"/>
  <c r="R48" i="21" s="1"/>
  <c r="Q53" i="71"/>
  <c r="F52" i="71"/>
  <c r="B9" i="71"/>
  <c r="B8" i="71" s="1"/>
  <c r="B7" i="71" s="1"/>
  <c r="B6" i="71" s="1"/>
  <c r="S10" i="71"/>
  <c r="U12" i="35"/>
  <c r="AB12" i="35"/>
  <c r="AB12" i="34"/>
  <c r="U12" i="34"/>
  <c r="U12" i="21"/>
  <c r="AB12" i="21"/>
  <c r="AZ548" i="3"/>
  <c r="AZ5" i="3" s="1"/>
  <c r="E30" i="6"/>
  <c r="E31" i="6" s="1"/>
  <c r="E35" i="6" s="1"/>
  <c r="K21" i="6"/>
  <c r="M21" i="6" s="1"/>
  <c r="I21" i="6" s="1"/>
  <c r="S21" i="6" s="1"/>
  <c r="K22" i="6"/>
  <c r="M22" i="6" s="1"/>
  <c r="I22" i="6" s="1"/>
  <c r="S22" i="6" s="1"/>
  <c r="K25" i="6"/>
  <c r="M25" i="6" s="1"/>
  <c r="I25" i="6" s="1"/>
  <c r="S25" i="6" s="1"/>
  <c r="K23" i="6"/>
  <c r="M23" i="6" s="1"/>
  <c r="I23" i="6" s="1"/>
  <c r="S23" i="6" s="1"/>
  <c r="K26" i="6"/>
  <c r="M26" i="6" s="1"/>
  <c r="I26" i="6" s="1"/>
  <c r="S26" i="6" s="1"/>
  <c r="K20" i="6"/>
  <c r="M20" i="6" s="1"/>
  <c r="I20" i="6" s="1"/>
  <c r="S20" i="6" s="1"/>
  <c r="K24" i="6"/>
  <c r="M24" i="6" s="1"/>
  <c r="I24" i="6" s="1"/>
  <c r="S24" i="6" s="1"/>
  <c r="K14" i="1"/>
  <c r="K19" i="6"/>
  <c r="S6" i="1" s="1"/>
  <c r="G5" i="3"/>
  <c r="B3" i="3" s="1"/>
  <c r="E551" i="3" s="1"/>
  <c r="O11" i="1"/>
  <c r="W7" i="35"/>
  <c r="AC7" i="35"/>
  <c r="V38" i="35" s="1"/>
  <c r="I38" i="35" s="1"/>
  <c r="AC7" i="21"/>
  <c r="V48" i="21" s="1"/>
  <c r="I48" i="21" s="1"/>
  <c r="W7" i="21"/>
  <c r="AB7" i="21"/>
  <c r="T48" i="21" s="1"/>
  <c r="G48" i="21" s="1"/>
  <c r="U7" i="21"/>
  <c r="H7" i="33"/>
  <c r="F7" i="33"/>
  <c r="U7" i="36"/>
  <c r="AB7" i="36"/>
  <c r="T36" i="36" s="1"/>
  <c r="G36" i="36" s="1"/>
  <c r="AA7" i="35"/>
  <c r="R38" i="35" s="1"/>
  <c r="S7" i="35"/>
  <c r="H7" i="34"/>
  <c r="AC7" i="37"/>
  <c r="V42" i="37" s="1"/>
  <c r="I42" i="37" s="1"/>
  <c r="W7" i="37"/>
  <c r="P23" i="43"/>
  <c r="B71" i="39" s="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6" i="1"/>
  <c r="C17" i="15"/>
  <c r="F6" i="15"/>
  <c r="E6" i="70" l="1"/>
  <c r="E2" i="70" s="1"/>
  <c r="S10" i="40"/>
  <c r="J54" i="43"/>
  <c r="D54" i="43"/>
  <c r="D25" i="71"/>
  <c r="C26" i="71"/>
  <c r="J49" i="43"/>
  <c r="D49" i="43"/>
  <c r="T30" i="71"/>
  <c r="D30" i="71"/>
  <c r="T50" i="71"/>
  <c r="D50" i="71"/>
  <c r="O52" i="71"/>
  <c r="O51" i="71"/>
  <c r="D52" i="71"/>
  <c r="J53" i="43"/>
  <c r="D53" i="43"/>
  <c r="J56" i="43"/>
  <c r="D56" i="43"/>
  <c r="D17" i="71"/>
  <c r="C18" i="71"/>
  <c r="J48" i="43"/>
  <c r="D48" i="43"/>
  <c r="J51" i="43"/>
  <c r="D51" i="43"/>
  <c r="J50" i="43"/>
  <c r="D50" i="43"/>
  <c r="B4" i="72"/>
  <c r="B71" i="72"/>
  <c r="C6" i="15"/>
  <c r="K23" i="77"/>
  <c r="K24" i="77" s="1"/>
  <c r="K22" i="77"/>
  <c r="M11" i="77"/>
  <c r="M8" i="77"/>
  <c r="M10" i="77" s="1"/>
  <c r="L31" i="77" s="1"/>
  <c r="N5" i="77"/>
  <c r="L13" i="77"/>
  <c r="L20" i="77" s="1"/>
  <c r="L21" i="77" s="1"/>
  <c r="H24" i="77"/>
  <c r="E41" i="43"/>
  <c r="C41" i="43" s="1"/>
  <c r="C20" i="43"/>
  <c r="AB10" i="39"/>
  <c r="AQ6" i="1"/>
  <c r="AR6" i="1"/>
  <c r="T6" i="1"/>
  <c r="S16" i="1"/>
  <c r="G68" i="39"/>
  <c r="F70" i="39"/>
  <c r="F63" i="40"/>
  <c r="E65" i="40"/>
  <c r="E3" i="6"/>
  <c r="AY6" i="3"/>
  <c r="U7" i="34"/>
  <c r="AB7" i="34"/>
  <c r="T49" i="34" s="1"/>
  <c r="G49" i="34" s="1"/>
  <c r="R39" i="35"/>
  <c r="E38" i="35"/>
  <c r="U7" i="33"/>
  <c r="AB7" i="33"/>
  <c r="T48" i="33" s="1"/>
  <c r="G48" i="33" s="1"/>
  <c r="G52" i="21"/>
  <c r="H52" i="21" s="1"/>
  <c r="G53" i="21"/>
  <c r="H53" i="21" s="1"/>
  <c r="I52" i="21"/>
  <c r="J52" i="2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14" i="1"/>
  <c r="C34" i="69"/>
  <c r="K16" i="1"/>
  <c r="Q52" i="71"/>
  <c r="Q51" i="71"/>
  <c r="I40" i="36"/>
  <c r="J40" i="36" s="1"/>
  <c r="I53" i="34"/>
  <c r="J53" i="34" s="1"/>
  <c r="R43" i="37"/>
  <c r="E42" i="37"/>
  <c r="I47" i="37" s="1"/>
  <c r="J47" i="37" s="1"/>
  <c r="C8" i="71"/>
  <c r="D9" i="71"/>
  <c r="I46" i="37"/>
  <c r="J46" i="37" s="1"/>
  <c r="G40" i="36"/>
  <c r="H40" i="36" s="1"/>
  <c r="G41" i="36"/>
  <c r="H41" i="36" s="1"/>
  <c r="AA7" i="33"/>
  <c r="R48" i="33" s="1"/>
  <c r="S7" i="33"/>
  <c r="I42" i="35"/>
  <c r="J42" i="35" s="1"/>
  <c r="I43" i="35"/>
  <c r="J43" i="35" s="1"/>
  <c r="P11" i="1"/>
  <c r="M19" i="6"/>
  <c r="K27" i="6"/>
  <c r="B5" i="71"/>
  <c r="S6" i="71"/>
  <c r="R49" i="21"/>
  <c r="E48" i="21"/>
  <c r="G47" i="37"/>
  <c r="H47" i="37" s="1"/>
  <c r="G46" i="37"/>
  <c r="H46" i="37" s="1"/>
  <c r="G42" i="35"/>
  <c r="H42" i="35" s="1"/>
  <c r="G43" i="35"/>
  <c r="H43" i="35" s="1"/>
  <c r="E36" i="36"/>
  <c r="R37" i="36"/>
  <c r="I52" i="33"/>
  <c r="J52" i="33" s="1"/>
  <c r="E49" i="34"/>
  <c r="R50" i="34"/>
  <c r="D42" i="71"/>
  <c r="T42" i="71"/>
  <c r="E5" i="71"/>
  <c r="V6"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C14" i="15"/>
  <c r="F41" i="15"/>
  <c r="C18" i="15" l="1"/>
  <c r="C15" i="15"/>
  <c r="E48" i="43"/>
  <c r="B46" i="43" s="1"/>
  <c r="C24" i="43" s="1"/>
  <c r="T26" i="71"/>
  <c r="D26" i="71"/>
  <c r="M19" i="43"/>
  <c r="T18" i="71"/>
  <c r="D18" i="71"/>
  <c r="F69" i="15"/>
  <c r="J29" i="15"/>
  <c r="C5" i="15"/>
  <c r="C38" i="15" s="1"/>
  <c r="L22" i="77"/>
  <c r="L23" i="77" s="1"/>
  <c r="M13" i="77"/>
  <c r="M20" i="77" s="1"/>
  <c r="M21" i="77" s="1"/>
  <c r="O5" i="77"/>
  <c r="N8" i="77"/>
  <c r="N10" i="77" s="1"/>
  <c r="M31" i="77" s="1"/>
  <c r="N11" i="77"/>
  <c r="AC6" i="3"/>
  <c r="H6" i="3"/>
  <c r="F65" i="40"/>
  <c r="G63" i="40"/>
  <c r="H68" i="39"/>
  <c r="G70" i="39"/>
  <c r="E54" i="34"/>
  <c r="F54" i="34" s="1"/>
  <c r="E53" i="34"/>
  <c r="F53" i="34" s="1"/>
  <c r="E41" i="36"/>
  <c r="F41" i="36" s="1"/>
  <c r="E40" i="36"/>
  <c r="F40" i="36" s="1"/>
  <c r="E53" i="21"/>
  <c r="F53" i="21" s="1"/>
  <c r="E52" i="21"/>
  <c r="F52" i="21" s="1"/>
  <c r="R49" i="33"/>
  <c r="E48" i="33"/>
  <c r="D8" i="71"/>
  <c r="C7" i="71"/>
  <c r="C43" i="37"/>
  <c r="C42" i="37"/>
  <c r="I54" i="34"/>
  <c r="J54" i="34" s="1"/>
  <c r="O14" i="1"/>
  <c r="O16" i="1" s="1"/>
  <c r="T16" i="1"/>
  <c r="M16" i="1"/>
  <c r="I53" i="21"/>
  <c r="J53" i="21" s="1"/>
  <c r="G52" i="33"/>
  <c r="H52" i="33" s="1"/>
  <c r="G53" i="33"/>
  <c r="H53" i="33" s="1"/>
  <c r="E43" i="35"/>
  <c r="F43" i="35" s="1"/>
  <c r="E42" i="35"/>
  <c r="F42" i="35" s="1"/>
  <c r="G54" i="34"/>
  <c r="H54" i="34" s="1"/>
  <c r="G53" i="34"/>
  <c r="H53" i="3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34"/>
  <c r="C50" i="34"/>
  <c r="C37" i="36"/>
  <c r="B2" i="36" s="1"/>
  <c r="B3" i="36" s="1"/>
  <c r="C36" i="36"/>
  <c r="C48" i="21"/>
  <c r="C49" i="21"/>
  <c r="M27" i="6"/>
  <c r="I19" i="6"/>
  <c r="E47" i="37"/>
  <c r="F47" i="37" s="1"/>
  <c r="E46" i="37"/>
  <c r="F46" i="37" s="1"/>
  <c r="I41" i="36"/>
  <c r="J41" i="36" s="1"/>
  <c r="C38" i="69"/>
  <c r="C35" i="69"/>
  <c r="E6" i="3"/>
  <c r="C39" i="35"/>
  <c r="B2" i="35" s="1"/>
  <c r="B3" i="35" s="1"/>
  <c r="C38" i="35"/>
  <c r="D3" i="34"/>
  <c r="D3" i="33"/>
  <c r="E6" i="6"/>
  <c r="D37" i="11"/>
  <c r="C37" i="11" s="1"/>
  <c r="D14" i="12"/>
  <c r="M18" i="9"/>
  <c r="B118" i="9" s="1"/>
  <c r="B14" i="74" s="1"/>
  <c r="B1" i="74" s="1"/>
  <c r="D3" i="21"/>
  <c r="D19" i="11"/>
  <c r="C19" i="11" s="1"/>
  <c r="C20" i="11" s="1"/>
  <c r="C28" i="11" s="1"/>
  <c r="C27" i="11" s="1"/>
  <c r="C17" i="4"/>
  <c r="B4" i="52" s="1"/>
  <c r="B43" i="72" s="1"/>
  <c r="L18" i="9"/>
  <c r="D3" i="37"/>
  <c r="C26" i="68"/>
  <c r="D22" i="68" s="1"/>
  <c r="C44" i="68"/>
  <c r="D41" i="68" s="1"/>
  <c r="C26" i="12"/>
  <c r="D25" i="12" s="1"/>
  <c r="C44" i="11"/>
  <c r="D41" i="11" s="1"/>
  <c r="C23" i="11"/>
  <c r="C26" i="11"/>
  <c r="D22" i="11" s="1"/>
  <c r="C24" i="11"/>
  <c r="C23" i="67"/>
  <c r="C29" i="67" s="1"/>
  <c r="C66" i="15"/>
  <c r="C60" i="15"/>
  <c r="C60" i="67"/>
  <c r="C66" i="67"/>
  <c r="C44" i="69"/>
  <c r="D41" i="69" s="1"/>
  <c r="C26" i="69"/>
  <c r="D22" i="69" s="1"/>
  <c r="C38" i="67"/>
  <c r="C32" i="67"/>
  <c r="C19" i="15" l="1"/>
  <c r="C20" i="15" s="1"/>
  <c r="C26" i="15" s="1"/>
  <c r="C32" i="15"/>
  <c r="M22" i="77"/>
  <c r="M23" i="77" s="1"/>
  <c r="M24" i="77" s="1"/>
  <c r="O8" i="77"/>
  <c r="O10" i="77" s="1"/>
  <c r="N31" i="77" s="1"/>
  <c r="P5" i="77"/>
  <c r="O11" i="77"/>
  <c r="N13" i="77"/>
  <c r="N20" i="77" s="1"/>
  <c r="N21" i="77" s="1"/>
  <c r="L24" i="77"/>
  <c r="C25" i="11"/>
  <c r="C22" i="11" s="1"/>
  <c r="C31" i="11" s="1"/>
  <c r="P14" i="1"/>
  <c r="P16" i="1" s="1"/>
  <c r="C11" i="12" s="1"/>
  <c r="C15" i="12" s="1"/>
  <c r="G65" i="40"/>
  <c r="H63" i="40"/>
  <c r="I68" i="39"/>
  <c r="H70" i="39"/>
  <c r="C7" i="74"/>
  <c r="C8" i="74"/>
  <c r="N16" i="1"/>
  <c r="L16" i="1"/>
  <c r="C34" i="11"/>
  <c r="C34" i="68"/>
  <c r="C6" i="71"/>
  <c r="D7" i="71"/>
  <c r="E53" i="33"/>
  <c r="F53" i="33" s="1"/>
  <c r="E52" i="33"/>
  <c r="F52" i="33" s="1"/>
  <c r="I53" i="33"/>
  <c r="J53" i="33" s="1"/>
  <c r="D17" i="12"/>
  <c r="C17" i="12" s="1"/>
  <c r="C14" i="12"/>
  <c r="D10" i="11"/>
  <c r="C10" i="11" s="1"/>
  <c r="D10" i="69"/>
  <c r="D10" i="68"/>
  <c r="D20" i="12"/>
  <c r="C20" i="12" s="1"/>
  <c r="S19" i="6"/>
  <c r="S27" i="6" s="1"/>
  <c r="I27" i="6"/>
  <c r="B2" i="21"/>
  <c r="B3" i="21" s="1"/>
  <c r="B2" i="34"/>
  <c r="B3" i="34" s="1"/>
  <c r="D15" i="6"/>
  <c r="D21" i="6"/>
  <c r="R21" i="6" s="1"/>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D25" i="6"/>
  <c r="R25" i="6" s="1"/>
  <c r="D22" i="6"/>
  <c r="D24" i="6"/>
  <c r="B2" i="37"/>
  <c r="B3" i="37" s="1"/>
  <c r="C48" i="33"/>
  <c r="C49" i="33"/>
  <c r="B2" i="33" s="1"/>
  <c r="B3" i="33" s="1"/>
  <c r="J59" i="15"/>
  <c r="J60" i="15" s="1"/>
  <c r="C33" i="67"/>
  <c r="C31" i="67" s="1"/>
  <c r="J14" i="67"/>
  <c r="C57" i="67"/>
  <c r="C13" i="67"/>
  <c r="J19" i="67"/>
  <c r="J17" i="67" s="1"/>
  <c r="Q49" i="67"/>
  <c r="C36" i="67"/>
  <c r="J59" i="67"/>
  <c r="J60" i="67" s="1"/>
  <c r="C23" i="15" l="1"/>
  <c r="C29" i="15" s="1"/>
  <c r="C36" i="15" s="1"/>
  <c r="P11" i="77"/>
  <c r="P8" i="77"/>
  <c r="P10" i="77" s="1"/>
  <c r="O31" i="77" s="1"/>
  <c r="Q5" i="77"/>
  <c r="Q8" i="77" s="1"/>
  <c r="Q10" i="77" s="1"/>
  <c r="N22" i="77"/>
  <c r="N23" i="77" s="1"/>
  <c r="N24" i="77" s="1"/>
  <c r="O13" i="77"/>
  <c r="O20" i="77" s="1"/>
  <c r="O21" i="77" s="1"/>
  <c r="H27" i="6"/>
  <c r="D16" i="6"/>
  <c r="D30" i="6"/>
  <c r="C12" i="12"/>
  <c r="C16" i="12" s="1"/>
  <c r="R22" i="6"/>
  <c r="H65" i="40"/>
  <c r="I63" i="40"/>
  <c r="J68" i="39"/>
  <c r="I70" i="39"/>
  <c r="R23" i="6"/>
  <c r="D27" i="6"/>
  <c r="D31" i="6" s="1"/>
  <c r="R19" i="6"/>
  <c r="C35" i="11"/>
  <c r="C38" i="11"/>
  <c r="F50" i="11"/>
  <c r="F50" i="68"/>
  <c r="F50" i="69"/>
  <c r="A7" i="51"/>
  <c r="B7" i="72" s="1"/>
  <c r="C4" i="52"/>
  <c r="B45" i="72" s="1"/>
  <c r="A10" i="51"/>
  <c r="B9" i="72" s="1"/>
  <c r="C10" i="69"/>
  <c r="C8" i="69" s="1"/>
  <c r="C5" i="69" s="1"/>
  <c r="D19" i="69"/>
  <c r="C5" i="71"/>
  <c r="D5" i="71" s="1"/>
  <c r="T6" i="71"/>
  <c r="D6" i="71"/>
  <c r="R24" i="6"/>
  <c r="R26" i="6"/>
  <c r="D7" i="74"/>
  <c r="D8" i="74"/>
  <c r="R20" i="6"/>
  <c r="C10" i="68"/>
  <c r="B29" i="1" s="1"/>
  <c r="C8" i="68" s="1"/>
  <c r="D19" i="68"/>
  <c r="C35" i="68"/>
  <c r="C38" i="68"/>
  <c r="Q48" i="67"/>
  <c r="L46" i="67"/>
  <c r="C75" i="67"/>
  <c r="C37" i="67"/>
  <c r="C30" i="67" s="1"/>
  <c r="C39" i="67" s="1"/>
  <c r="Q70" i="67"/>
  <c r="C56" i="67"/>
  <c r="C65" i="67" s="1"/>
  <c r="J13" i="67"/>
  <c r="J23" i="67" s="1"/>
  <c r="J22" i="67"/>
  <c r="Q48" i="15"/>
  <c r="C61" i="67"/>
  <c r="C59" i="67" s="1"/>
  <c r="C64" i="67"/>
  <c r="Q49" i="15" l="1"/>
  <c r="J19" i="15"/>
  <c r="C57" i="15"/>
  <c r="C33" i="15"/>
  <c r="C13" i="15"/>
  <c r="J14" i="15"/>
  <c r="P31" i="77"/>
  <c r="Q31" i="77"/>
  <c r="P13" i="77"/>
  <c r="Q13" i="77" s="1"/>
  <c r="P20" i="77"/>
  <c r="Q20" i="77" s="1"/>
  <c r="Q11" i="77"/>
  <c r="O23" i="77"/>
  <c r="O24" i="77" s="1"/>
  <c r="O22" i="77"/>
  <c r="C18" i="12"/>
  <c r="C21" i="12" s="1"/>
  <c r="R27" i="6"/>
  <c r="R6" i="1"/>
  <c r="C33" i="11"/>
  <c r="C39" i="11" s="1"/>
  <c r="C43" i="11" s="1"/>
  <c r="I65" i="40"/>
  <c r="J63" i="40"/>
  <c r="J70" i="39"/>
  <c r="K68" i="39"/>
  <c r="C19" i="69"/>
  <c r="C24" i="69" s="1"/>
  <c r="D37" i="69"/>
  <c r="C37" i="69" s="1"/>
  <c r="C33" i="69" s="1"/>
  <c r="C19" i="68"/>
  <c r="D37" i="68"/>
  <c r="C37" i="68" s="1"/>
  <c r="C33" i="68" s="1"/>
  <c r="M20" i="43"/>
  <c r="C19" i="43" s="1"/>
  <c r="U6" i="71"/>
  <c r="C23" i="69"/>
  <c r="I6" i="6"/>
  <c r="I5" i="6"/>
  <c r="J16" i="67"/>
  <c r="J25" i="67" s="1"/>
  <c r="C40" i="67"/>
  <c r="Q69" i="67"/>
  <c r="Q68" i="67" s="1"/>
  <c r="C58" i="67"/>
  <c r="C67" i="67" s="1"/>
  <c r="C68" i="67" s="1"/>
  <c r="C80" i="67"/>
  <c r="C79" i="67" s="1"/>
  <c r="M21" i="15"/>
  <c r="F35" i="15"/>
  <c r="L51" i="67"/>
  <c r="Q70" i="15" l="1"/>
  <c r="C37" i="15"/>
  <c r="C56" i="15"/>
  <c r="C65" i="15" s="1"/>
  <c r="C75" i="15"/>
  <c r="C61" i="15"/>
  <c r="C64" i="15"/>
  <c r="J13" i="15"/>
  <c r="J23" i="15" s="1"/>
  <c r="J22" i="15"/>
  <c r="C11" i="39"/>
  <c r="G3" i="43"/>
  <c r="P21" i="77"/>
  <c r="C34" i="15"/>
  <c r="C31" i="15" s="1"/>
  <c r="C30" i="15" s="1"/>
  <c r="C39" i="15" s="1"/>
  <c r="F63" i="15"/>
  <c r="C62" i="15" s="1"/>
  <c r="C59" i="15" s="1"/>
  <c r="J20" i="15"/>
  <c r="J17" i="15" s="1"/>
  <c r="R16" i="1"/>
  <c r="C22" i="12"/>
  <c r="C30" i="12" s="1"/>
  <c r="C28" i="12" s="1"/>
  <c r="C20" i="69"/>
  <c r="C28" i="69" s="1"/>
  <c r="C27" i="69" s="1"/>
  <c r="C42" i="11"/>
  <c r="C41" i="11" s="1"/>
  <c r="L68" i="39"/>
  <c r="K70" i="39"/>
  <c r="J65" i="40"/>
  <c r="K63" i="40"/>
  <c r="C46" i="11"/>
  <c r="C45" i="11" s="1"/>
  <c r="C39" i="68"/>
  <c r="C43" i="68" s="1"/>
  <c r="C42" i="68"/>
  <c r="C39" i="69"/>
  <c r="C42" i="69"/>
  <c r="C37" i="43"/>
  <c r="C35" i="43"/>
  <c r="C36" i="43"/>
  <c r="C39" i="43"/>
  <c r="T14" i="43"/>
  <c r="V14" i="43" s="1"/>
  <c r="C34" i="43"/>
  <c r="T11" i="43"/>
  <c r="V11" i="43" s="1"/>
  <c r="T10" i="43"/>
  <c r="V10" i="43" s="1"/>
  <c r="T12" i="43"/>
  <c r="V12" i="43" s="1"/>
  <c r="T9" i="43"/>
  <c r="V9" i="43" s="1"/>
  <c r="C33" i="43"/>
  <c r="T15" i="43"/>
  <c r="V15" i="43" s="1"/>
  <c r="T16" i="43"/>
  <c r="V16" i="43" s="1"/>
  <c r="T13" i="43"/>
  <c r="V13" i="43" s="1"/>
  <c r="T8" i="43"/>
  <c r="V8" i="43" s="1"/>
  <c r="C38" i="43"/>
  <c r="C24" i="68"/>
  <c r="Q67" i="67"/>
  <c r="L57" i="67"/>
  <c r="L60" i="67" s="1"/>
  <c r="C71" i="67"/>
  <c r="C45" i="67"/>
  <c r="C46" i="67" s="1"/>
  <c r="Q56" i="67"/>
  <c r="Q47" i="67"/>
  <c r="Q53" i="67" s="1"/>
  <c r="Q65" i="67"/>
  <c r="C43" i="67"/>
  <c r="D2" i="67"/>
  <c r="C83" i="67"/>
  <c r="C82" i="67" s="1"/>
  <c r="L51" i="15"/>
  <c r="J16" i="15" l="1"/>
  <c r="J25" i="15" s="1"/>
  <c r="C58" i="15"/>
  <c r="C67" i="15" s="1"/>
  <c r="C68" i="15" s="1"/>
  <c r="C71" i="15" s="1"/>
  <c r="F101" i="43"/>
  <c r="L101" i="43"/>
  <c r="M101" i="43"/>
  <c r="AH11" i="43"/>
  <c r="AH13" i="43" s="1"/>
  <c r="Z11" i="43"/>
  <c r="Z13" i="43" s="1"/>
  <c r="AC11" i="43"/>
  <c r="AC13" i="43" s="1"/>
  <c r="B113" i="43"/>
  <c r="N101" i="43"/>
  <c r="C101" i="43"/>
  <c r="N104" i="46"/>
  <c r="D101" i="43"/>
  <c r="G22" i="43"/>
  <c r="AF11" i="43"/>
  <c r="AF13" i="43" s="1"/>
  <c r="Z7" i="43"/>
  <c r="AE11" i="43"/>
  <c r="AE13" i="43" s="1"/>
  <c r="J22" i="43"/>
  <c r="F22" i="43"/>
  <c r="E22" i="43"/>
  <c r="H101" i="43"/>
  <c r="E101" i="43"/>
  <c r="AD11" i="43"/>
  <c r="AD13" i="43" s="1"/>
  <c r="AG11" i="43"/>
  <c r="AG13" i="43" s="1"/>
  <c r="Y11" i="43"/>
  <c r="Y13" i="43" s="1"/>
  <c r="K101" i="43"/>
  <c r="G101" i="43"/>
  <c r="J101" i="43"/>
  <c r="H22" i="43"/>
  <c r="I101" i="43"/>
  <c r="AJ11" i="43"/>
  <c r="AJ13" i="43" s="1"/>
  <c r="AB11" i="43"/>
  <c r="AB13" i="43" s="1"/>
  <c r="AI11" i="43"/>
  <c r="AI13" i="43" s="1"/>
  <c r="AA11" i="43"/>
  <c r="AA13" i="43" s="1"/>
  <c r="S3" i="43"/>
  <c r="T3" i="43" s="1"/>
  <c r="V3" i="43" s="1"/>
  <c r="S2" i="43"/>
  <c r="T2" i="43" s="1"/>
  <c r="V2" i="43" s="1"/>
  <c r="C23" i="43"/>
  <c r="S7" i="43"/>
  <c r="T7" i="43" s="1"/>
  <c r="V7" i="43" s="1"/>
  <c r="S4" i="43"/>
  <c r="T4" i="43" s="1"/>
  <c r="V4" i="43" s="1"/>
  <c r="S5" i="43"/>
  <c r="T5" i="43" s="1"/>
  <c r="V5" i="43" s="1"/>
  <c r="S6" i="43"/>
  <c r="T6" i="43" s="1"/>
  <c r="V6" i="43" s="1"/>
  <c r="H11" i="39"/>
  <c r="F11" i="39"/>
  <c r="J11" i="39"/>
  <c r="P23" i="77"/>
  <c r="P22" i="77"/>
  <c r="Q22" i="77" s="1"/>
  <c r="Q21" i="77"/>
  <c r="Q67" i="15"/>
  <c r="L57" i="15"/>
  <c r="L60" i="15" s="1"/>
  <c r="L46" i="15" s="1"/>
  <c r="C40" i="15"/>
  <c r="C80" i="15"/>
  <c r="C79" i="15" s="1"/>
  <c r="Q69" i="15"/>
  <c r="Q68" i="15" s="1"/>
  <c r="C27" i="12"/>
  <c r="C25" i="12" s="1"/>
  <c r="C32" i="12" s="1"/>
  <c r="B2" i="12" s="1"/>
  <c r="B3" i="12" s="1"/>
  <c r="C25" i="69"/>
  <c r="C22" i="69" s="1"/>
  <c r="C31" i="69" s="1"/>
  <c r="C49" i="11"/>
  <c r="C51" i="11" s="1"/>
  <c r="C52" i="11" s="1"/>
  <c r="B2" i="11" s="1"/>
  <c r="B3" i="11" s="1"/>
  <c r="K65" i="40"/>
  <c r="L63" i="40"/>
  <c r="M68" i="39"/>
  <c r="L70" i="39"/>
  <c r="C41" i="68"/>
  <c r="G38" i="43"/>
  <c r="I38" i="43" s="1"/>
  <c r="E38" i="43"/>
  <c r="E33" i="43"/>
  <c r="G33" i="43"/>
  <c r="I33" i="43" s="1"/>
  <c r="E34" i="43"/>
  <c r="G34" i="43"/>
  <c r="I34" i="43" s="1"/>
  <c r="E35" i="43"/>
  <c r="G35" i="43"/>
  <c r="I35" i="43" s="1"/>
  <c r="E39" i="43"/>
  <c r="G39" i="43"/>
  <c r="I39" i="43" s="1"/>
  <c r="E36" i="43"/>
  <c r="G36" i="43"/>
  <c r="I36" i="43" s="1"/>
  <c r="E37" i="43"/>
  <c r="G37" i="43"/>
  <c r="I37" i="43" s="1"/>
  <c r="C46" i="69"/>
  <c r="C45" i="69" s="1"/>
  <c r="C43" i="69"/>
  <c r="C41" i="69" s="1"/>
  <c r="C46" i="68"/>
  <c r="C45" i="68" s="1"/>
  <c r="Q66" i="67"/>
  <c r="Q75" i="67" s="1"/>
  <c r="Q57" i="67"/>
  <c r="Q62" i="67" s="1"/>
  <c r="B2" i="67"/>
  <c r="B3" i="67"/>
  <c r="AA11" i="39" l="1"/>
  <c r="S11" i="39"/>
  <c r="W11" i="39"/>
  <c r="AC11" i="39"/>
  <c r="U11" i="39"/>
  <c r="AB11" i="39"/>
  <c r="I109" i="43"/>
  <c r="I106" i="43"/>
  <c r="I104" i="43"/>
  <c r="I105" i="43"/>
  <c r="I102" i="43"/>
  <c r="I103" i="43"/>
  <c r="I107" i="43"/>
  <c r="J105" i="43"/>
  <c r="J102" i="43"/>
  <c r="J109" i="43"/>
  <c r="J104" i="43"/>
  <c r="J107" i="43"/>
  <c r="J106" i="43"/>
  <c r="J103" i="43"/>
  <c r="K102" i="43"/>
  <c r="K109" i="43"/>
  <c r="K105" i="43"/>
  <c r="K107" i="43"/>
  <c r="K104" i="43"/>
  <c r="K103" i="43"/>
  <c r="K106" i="43"/>
  <c r="E106" i="43"/>
  <c r="E109" i="43"/>
  <c r="E107" i="43"/>
  <c r="E102" i="43"/>
  <c r="E103" i="43"/>
  <c r="E104" i="43"/>
  <c r="E105" i="43"/>
  <c r="D22" i="43"/>
  <c r="N105" i="43"/>
  <c r="N109" i="43"/>
  <c r="N104" i="43"/>
  <c r="N103" i="43"/>
  <c r="N107" i="43"/>
  <c r="N102" i="43"/>
  <c r="N106" i="43"/>
  <c r="L105" i="43"/>
  <c r="L109" i="43"/>
  <c r="L107" i="43"/>
  <c r="L102" i="43"/>
  <c r="L104" i="43"/>
  <c r="L106" i="43"/>
  <c r="L103" i="43"/>
  <c r="C21" i="43"/>
  <c r="C29" i="43" s="1"/>
  <c r="G105" i="43"/>
  <c r="G104" i="43"/>
  <c r="G103" i="43"/>
  <c r="G109" i="43"/>
  <c r="G107" i="43"/>
  <c r="G102" i="43"/>
  <c r="G106" i="43"/>
  <c r="H102" i="43"/>
  <c r="H104" i="43"/>
  <c r="H106" i="43"/>
  <c r="H109" i="43"/>
  <c r="H103" i="43"/>
  <c r="H107" i="43"/>
  <c r="H105" i="43"/>
  <c r="D103" i="43"/>
  <c r="D107" i="43"/>
  <c r="D106" i="43"/>
  <c r="D109" i="43"/>
  <c r="D104" i="43"/>
  <c r="D105" i="43"/>
  <c r="D102" i="43"/>
  <c r="C104" i="43"/>
  <c r="C106" i="43"/>
  <c r="C103" i="43"/>
  <c r="C109" i="43"/>
  <c r="C105" i="43"/>
  <c r="C107" i="43"/>
  <c r="C102" i="43"/>
  <c r="D117" i="43"/>
  <c r="E117" i="43" s="1"/>
  <c r="F117" i="43" s="1"/>
  <c r="G117" i="43" s="1"/>
  <c r="H117" i="43" s="1"/>
  <c r="D118" i="43"/>
  <c r="E118" i="43" s="1"/>
  <c r="F118" i="43" s="1"/>
  <c r="I116" i="43"/>
  <c r="J116" i="43" s="1"/>
  <c r="K116" i="43" s="1"/>
  <c r="L116" i="43" s="1"/>
  <c r="M116" i="43" s="1"/>
  <c r="I115" i="43"/>
  <c r="J115" i="43" s="1"/>
  <c r="K115" i="43" s="1"/>
  <c r="L115" i="43" s="1"/>
  <c r="M115" i="43" s="1"/>
  <c r="G118" i="43"/>
  <c r="H118" i="43" s="1"/>
  <c r="B118" i="43"/>
  <c r="C118" i="43" s="1"/>
  <c r="B115" i="43"/>
  <c r="C115" i="43" s="1"/>
  <c r="D116" i="43"/>
  <c r="E116" i="43" s="1"/>
  <c r="F116" i="43" s="1"/>
  <c r="G116" i="43" s="1"/>
  <c r="H116" i="43" s="1"/>
  <c r="B117" i="43"/>
  <c r="C117" i="43" s="1"/>
  <c r="D115" i="43"/>
  <c r="E115" i="43" s="1"/>
  <c r="F115" i="43" s="1"/>
  <c r="G115" i="43" s="1"/>
  <c r="H115" i="43" s="1"/>
  <c r="I118" i="43"/>
  <c r="J118" i="43" s="1"/>
  <c r="K118" i="43" s="1"/>
  <c r="L118" i="43" s="1"/>
  <c r="M118" i="43" s="1"/>
  <c r="B116" i="43"/>
  <c r="C116" i="43" s="1"/>
  <c r="I117" i="43"/>
  <c r="J117" i="43" s="1"/>
  <c r="K117" i="43" s="1"/>
  <c r="L117" i="43" s="1"/>
  <c r="M117" i="43" s="1"/>
  <c r="M109" i="43"/>
  <c r="M106" i="43"/>
  <c r="M104" i="43"/>
  <c r="M105" i="43"/>
  <c r="M102" i="43"/>
  <c r="M103" i="43"/>
  <c r="M107" i="43"/>
  <c r="F109" i="43"/>
  <c r="F105" i="43"/>
  <c r="F102" i="43"/>
  <c r="F104" i="43"/>
  <c r="F107" i="43"/>
  <c r="F106" i="43"/>
  <c r="F103" i="43"/>
  <c r="Q57" i="15"/>
  <c r="P24" i="77"/>
  <c r="Q24" i="77" s="1"/>
  <c r="Q23" i="77"/>
  <c r="Q66" i="15"/>
  <c r="Q65" i="15"/>
  <c r="Q56" i="15"/>
  <c r="B2" i="15"/>
  <c r="Q47" i="15"/>
  <c r="Q53" i="15" s="1"/>
  <c r="C83" i="15"/>
  <c r="C82" i="15" s="1"/>
  <c r="C46" i="15"/>
  <c r="C43" i="15"/>
  <c r="C56" i="11"/>
  <c r="C57" i="11" s="1"/>
  <c r="C49" i="68"/>
  <c r="C51" i="68" s="1"/>
  <c r="M63" i="40"/>
  <c r="L65" i="40"/>
  <c r="M70" i="39"/>
  <c r="N68" i="39"/>
  <c r="C49" i="69"/>
  <c r="C51" i="69" s="1"/>
  <c r="C52" i="69" s="1"/>
  <c r="B2" i="69" s="1"/>
  <c r="B3" i="69" s="1"/>
  <c r="D19" i="9"/>
  <c r="AO6" i="1"/>
  <c r="E29" i="43" l="1"/>
  <c r="C26" i="43" s="1"/>
  <c r="C30" i="43"/>
  <c r="E30" i="43" s="1"/>
  <c r="C27" i="43" s="1"/>
  <c r="D113" i="43"/>
  <c r="D102" i="9"/>
  <c r="D21" i="9"/>
  <c r="Q62" i="15"/>
  <c r="B6" i="70"/>
  <c r="B2" i="70" s="1"/>
  <c r="B3" i="70" s="1"/>
  <c r="B3" i="15"/>
  <c r="Q75" i="15"/>
  <c r="N70" i="39"/>
  <c r="O68" i="39"/>
  <c r="O70" i="39" s="1"/>
  <c r="N63" i="40"/>
  <c r="M65" i="40"/>
  <c r="C57" i="69"/>
  <c r="C56" i="69" s="1"/>
  <c r="E6" i="76"/>
  <c r="D20" i="9"/>
  <c r="E2" i="76" l="1"/>
  <c r="B2" i="43"/>
  <c r="D103" i="9"/>
  <c r="N65" i="40"/>
  <c r="O63" i="40"/>
  <c r="O65" i="40" s="1"/>
  <c r="F7" i="39"/>
  <c r="H7" i="39"/>
  <c r="J7" i="39"/>
  <c r="B6" i="76"/>
  <c r="B2" i="76" l="1"/>
  <c r="B3" i="76" s="1"/>
  <c r="C6" i="68"/>
  <c r="C7" i="68" s="1"/>
  <c r="C5" i="68" s="1"/>
  <c r="B3" i="43"/>
  <c r="W7" i="39"/>
  <c r="AC7" i="39"/>
  <c r="V47" i="39" s="1"/>
  <c r="I47" i="39" s="1"/>
  <c r="U7" i="39"/>
  <c r="AB7" i="39"/>
  <c r="T47" i="39" s="1"/>
  <c r="G47" i="39" s="1"/>
  <c r="S7" i="39"/>
  <c r="AA7" i="39"/>
  <c r="R47" i="39" s="1"/>
  <c r="J7" i="40"/>
  <c r="H7" i="40"/>
  <c r="F7" i="40"/>
  <c r="C20" i="68" l="1"/>
  <c r="C25" i="68" s="1"/>
  <c r="C23" i="68"/>
  <c r="C28" i="68"/>
  <c r="C27" i="68" s="1"/>
  <c r="AA7" i="40"/>
  <c r="R42" i="40" s="1"/>
  <c r="S7" i="40"/>
  <c r="AB7" i="40"/>
  <c r="T42" i="40" s="1"/>
  <c r="G42" i="40" s="1"/>
  <c r="U7" i="40"/>
  <c r="R48" i="39"/>
  <c r="E47" i="39"/>
  <c r="I52" i="39" s="1"/>
  <c r="J52" i="39" s="1"/>
  <c r="G51" i="39"/>
  <c r="H51" i="39" s="1"/>
  <c r="G52" i="39"/>
  <c r="H52" i="39" s="1"/>
  <c r="I51" i="39"/>
  <c r="J51" i="39" s="1"/>
  <c r="AC7" i="40"/>
  <c r="V42" i="40" s="1"/>
  <c r="I42" i="40" s="1"/>
  <c r="I46" i="40" s="1"/>
  <c r="J46" i="40" s="1"/>
  <c r="W7" i="40"/>
  <c r="C22" i="68" l="1"/>
  <c r="C31" i="68" s="1"/>
  <c r="C52" i="68" s="1"/>
  <c r="B2" i="68" s="1"/>
  <c r="B3" i="68" s="1"/>
  <c r="C48" i="39"/>
  <c r="C47" i="39"/>
  <c r="G46" i="40"/>
  <c r="H46" i="40" s="1"/>
  <c r="G47" i="40"/>
  <c r="H47" i="40" s="1"/>
  <c r="E42" i="40"/>
  <c r="R43" i="40"/>
  <c r="E52" i="39"/>
  <c r="F52" i="39" s="1"/>
  <c r="E51" i="39"/>
  <c r="F51" i="39" s="1"/>
  <c r="C19" i="9"/>
  <c r="D34" i="9"/>
  <c r="C20" i="9"/>
  <c r="D35" i="9"/>
  <c r="C102" i="9" l="1"/>
  <c r="C21" i="9"/>
  <c r="D22" i="9"/>
  <c r="G19" i="9"/>
  <c r="F26" i="9" s="1"/>
  <c r="D28" i="9" s="1"/>
  <c r="C57" i="68"/>
  <c r="C56" i="68" s="1"/>
  <c r="C32" i="9"/>
  <c r="C35" i="9" s="1"/>
  <c r="F118" i="9" s="1"/>
  <c r="C103" i="9"/>
  <c r="G20" i="9"/>
  <c r="I47" i="40"/>
  <c r="J47" i="40" s="1"/>
  <c r="E47" i="40"/>
  <c r="F47" i="40" s="1"/>
  <c r="E46" i="40"/>
  <c r="F46" i="40" s="1"/>
  <c r="B56" i="39"/>
  <c r="F56" i="39" s="1"/>
  <c r="B65" i="39"/>
  <c r="F65" i="39" s="1"/>
  <c r="B60" i="39"/>
  <c r="F60" i="39" s="1"/>
  <c r="B64" i="39"/>
  <c r="F64" i="39" s="1"/>
  <c r="B62" i="39"/>
  <c r="F62" i="39" s="1"/>
  <c r="B61" i="39"/>
  <c r="F61" i="39" s="1"/>
  <c r="B59" i="39"/>
  <c r="F59" i="39" s="1"/>
  <c r="B63" i="39"/>
  <c r="F63" i="39" s="1"/>
  <c r="B58" i="39"/>
  <c r="F58" i="39" s="1"/>
  <c r="B57" i="39"/>
  <c r="F57" i="39" s="1"/>
  <c r="C42" i="40"/>
  <c r="C43" i="40"/>
  <c r="H118" i="9" l="1"/>
  <c r="H4" i="52" s="1"/>
  <c r="G21" i="9"/>
  <c r="F66" i="39"/>
  <c r="B2" i="39" s="1"/>
  <c r="B3" i="39" s="1"/>
  <c r="C34" i="9"/>
  <c r="D118" i="9" s="1"/>
  <c r="D119" i="9" s="1"/>
  <c r="D5" i="52" s="1"/>
  <c r="H101" i="9"/>
  <c r="F119" i="9"/>
  <c r="F5" i="52" s="1"/>
  <c r="F4" i="52"/>
  <c r="G118" i="9"/>
  <c r="G4" i="52" s="1"/>
  <c r="B57" i="40"/>
  <c r="F57" i="40" s="1"/>
  <c r="B53" i="40"/>
  <c r="F53" i="40" s="1"/>
  <c r="B58" i="40"/>
  <c r="F58" i="40" s="1"/>
  <c r="B51" i="40"/>
  <c r="F51" i="40" s="1"/>
  <c r="B59" i="40"/>
  <c r="F59" i="40" s="1"/>
  <c r="B55" i="40"/>
  <c r="F55" i="40" s="1"/>
  <c r="B56" i="40"/>
  <c r="F56" i="40" s="1"/>
  <c r="F61" i="40"/>
  <c r="B2" i="40" s="1"/>
  <c r="B3" i="40" s="1"/>
  <c r="B52" i="40"/>
  <c r="F52" i="40" s="1"/>
  <c r="B60" i="40"/>
  <c r="F60" i="40" s="1"/>
  <c r="B54" i="40"/>
  <c r="F54" i="40" s="1"/>
  <c r="C104" i="9" l="1"/>
  <c r="D14" i="74"/>
  <c r="E14" i="74" s="1"/>
  <c r="I118" i="9"/>
  <c r="C105" i="9" s="1"/>
  <c r="H119" i="9"/>
  <c r="H5" i="52" s="1"/>
  <c r="B49" i="72"/>
  <c r="B51" i="72"/>
  <c r="B52" i="72"/>
  <c r="B53" i="72"/>
  <c r="D4" i="52"/>
  <c r="B5" i="74"/>
  <c r="D45" i="9"/>
  <c r="M48" i="9"/>
  <c r="H107" i="9"/>
  <c r="D5" i="53"/>
  <c r="I4" i="52"/>
  <c r="F14" i="74" l="1"/>
  <c r="H102" i="9"/>
  <c r="D7" i="53" s="1"/>
  <c r="E118" i="9"/>
  <c r="E4" i="52" s="1"/>
  <c r="B48" i="72" s="1"/>
  <c r="B21" i="72"/>
  <c r="B47" i="72"/>
  <c r="D6" i="53"/>
  <c r="B20" i="72"/>
  <c r="C5" i="74"/>
  <c r="D5" i="74"/>
  <c r="M49" i="9"/>
  <c r="D13" i="53"/>
  <c r="H108" i="9"/>
  <c r="D15" i="53" s="1"/>
  <c r="D122" i="9"/>
  <c r="C64" i="9"/>
  <c r="C63" i="9" s="1"/>
  <c r="C67" i="9" s="1"/>
  <c r="C68" i="9" s="1"/>
  <c r="D54" i="9" s="1"/>
  <c r="D52" i="9"/>
  <c r="C85" i="9"/>
  <c r="C72" i="9"/>
  <c r="D55" i="9"/>
  <c r="M53" i="9" s="1"/>
  <c r="C93" i="9"/>
  <c r="C86" i="9" s="1"/>
  <c r="C78" i="9"/>
  <c r="C73" i="9" s="1"/>
  <c r="D53" i="9"/>
  <c r="B22" i="72" l="1"/>
  <c r="B31" i="72"/>
  <c r="C95" i="9"/>
  <c r="C96" i="9" s="1"/>
  <c r="E96" i="9" s="1"/>
  <c r="E97" i="9" s="1"/>
  <c r="C79" i="9"/>
  <c r="D123" i="9"/>
  <c r="D9" i="52" s="1"/>
  <c r="D8" i="52"/>
  <c r="G14" i="74"/>
  <c r="B6" i="74" s="1"/>
  <c r="D14" i="53"/>
  <c r="B30" i="72"/>
  <c r="L68" i="9"/>
  <c r="M68" i="9" s="1"/>
  <c r="L66" i="9"/>
  <c r="M66" i="9" s="1"/>
  <c r="L64" i="9"/>
  <c r="M64" i="9" s="1"/>
  <c r="L63" i="9"/>
  <c r="M63" i="9" s="1"/>
  <c r="L67" i="9"/>
  <c r="M67" i="9" s="1"/>
  <c r="L65" i="9"/>
  <c r="M65" i="9" s="1"/>
  <c r="B32" i="72" l="1"/>
  <c r="C97" i="9"/>
  <c r="D58" i="9" s="1"/>
  <c r="D56" i="9" s="1"/>
  <c r="M54" i="9" s="1"/>
  <c r="N57" i="9" s="1"/>
  <c r="N59" i="9" s="1"/>
  <c r="N60" i="9" s="1"/>
  <c r="M69" i="9"/>
  <c r="N69" i="9" s="1"/>
  <c r="C6" i="74"/>
  <c r="D6" i="74"/>
  <c r="C80" i="9"/>
  <c r="E80" i="9" s="1"/>
  <c r="E81" i="9" s="1"/>
  <c r="N61" i="9" l="1"/>
  <c r="N58" i="9"/>
  <c r="P57" i="9"/>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<sst xmlns="http://schemas.openxmlformats.org/spreadsheetml/2006/main" count="7554" uniqueCount="3229">
  <si>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</si>
  <si>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</si>
  <si>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</si>
  <si>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</si>
  <si>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</si>
  <si>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</si>
  <si>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</si>
  <si>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</si>
  <si>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</si>
  <si>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</si>
  <si>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</si>
  <si>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</si>
  <si>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</si>
  <si>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</si>
  <si>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</si>
  <si>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</si>
  <si>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</si>
  <si>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</si>
  <si>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</si>
  <si>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</si>
  <si>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</si>
  <si>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</si>
  <si>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</si>
  <si>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</si>
  <si>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</si>
  <si>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</si>
  <si>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</si>
  <si>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</si>
  <si>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</si>
  <si>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</si>
  <si>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</si>
  <si>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</si>
  <si>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</si>
  <si>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</si>
  <si>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</si>
  <si>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</si>
  <si>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</si>
  <si>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</si>
  <si>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</si>
  <si>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</si>
  <si>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</si>
  <si>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</si>
  <si>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</si>
  <si>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</si>
  <si>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</si>
  <si>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</si>
  <si>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</si>
  <si>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</si>
  <si>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</si>
  <si>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</si>
  <si>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</si>
  <si>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</si>
  <si>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</si>
  <si>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</si>
  <si>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</si>
  <si>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</si>
  <si>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</si>
  <si>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</si>
  <si>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</si>
  <si>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</si>
  <si>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</si>
  <si>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</si>
  <si>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</si>
  <si>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</si>
  <si>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</si>
  <si>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</si>
  <si>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</si>
  <si>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</si>
  <si>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</si>
  <si>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</si>
  <si>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</si>
  <si>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</si>
  <si>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</si>
  <si>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</si>
  <si>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</si>
  <si>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</si>
  <si>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</si>
  <si>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</si>
  <si>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</si>
  <si>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</si>
  <si>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</si>
  <si>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</si>
  <si>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</si>
  <si>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</si>
  <si>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</si>
  <si>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</si>
  <si>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</si>
  <si>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</si>
  <si>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</si>
  <si>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</si>
  <si>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</si>
  <si>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</si>
  <si>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</si>
  <si>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</si>
  <si>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</si>
  <si>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</si>
  <si>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</si>
  <si>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</si>
  <si>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</si>
  <si>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</si>
  <si>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</si>
  <si>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</si>
  <si>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</si>
  <si>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</si>
  <si>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</si>
  <si>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</si>
  <si>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</si>
  <si>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</si>
  <si>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</si>
  <si>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</si>
  <si>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</si>
  <si>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</si>
  <si>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</si>
  <si>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</si>
  <si>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</si>
  <si>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</si>
  <si>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</si>
  <si>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</si>
  <si>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</si>
  <si>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</si>
  <si>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</si>
  <si>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</si>
  <si>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</si>
  <si>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</si>
  <si>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</si>
  <si>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</si>
  <si>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</si>
  <si>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</si>
  <si>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</si>
  <si>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</si>
  <si>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</si>
  <si>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</si>
  <si>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</si>
  <si>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</si>
  <si>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</si>
  <si>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</si>
  <si>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</si>
  <si>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</si>
  <si>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</si>
  <si>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</si>
  <si>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</si>
  <si>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</si>
  <si>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</si>
  <si>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</si>
  <si>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</si>
  <si>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</si>
  <si>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</si>
  <si>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</si>
  <si>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</si>
  <si>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</si>
  <si>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</si>
  <si>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</si>
  <si>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</si>
  <si>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</si>
  <si>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</si>
  <si>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</si>
  <si>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</si>
  <si>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</si>
  <si>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</si>
  <si>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</si>
  <si>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</si>
  <si>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</si>
  <si>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</si>
  <si>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</si>
  <si>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</si>
  <si>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</si>
  <si>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</si>
  <si>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</si>
  <si>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</si>
  <si>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</si>
  <si>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</si>
  <si>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</si>
  <si>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</si>
  <si>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</si>
  <si>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</si>
  <si>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</si>
  <si>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</si>
  <si>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</si>
  <si>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</si>
  <si>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</si>
  <si>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</si>
  <si>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</si>
  <si>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</si>
  <si>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</si>
  <si>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</si>
  <si>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</si>
  <si>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</si>
  <si>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</si>
  <si>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</si>
  <si>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</si>
  <si>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</si>
  <si>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</si>
  <si>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</si>
  <si>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</si>
  <si>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</si>
  <si>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</si>
  <si>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</si>
  <si>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</si>
  <si>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</si>
  <si>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</si>
  <si>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</si>
  <si>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</si>
  <si>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</si>
  <si>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</si>
  <si>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</si>
  <si>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</si>
  <si>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</si>
  <si>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</si>
  <si>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</si>
  <si>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</si>
  <si>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</si>
  <si>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</si>
  <si>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</si>
  <si>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</si>
  <si>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</si>
  <si>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</si>
  <si>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</si>
  <si>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</si>
  <si>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</si>
  <si>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</si>
  <si>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</si>
  <si>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</si>
  <si>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</si>
  <si>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</si>
  <si>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</si>
  <si>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</si>
  <si>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</si>
  <si>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</si>
  <si>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</si>
  <si>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</si>
  <si>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</si>
  <si>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</si>
  <si>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</si>
  <si>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</si>
  <si>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</si>
  <si>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</si>
  <si>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</si>
  <si>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</si>
  <si>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</si>
  <si>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</si>
  <si>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</si>
  <si>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</si>
  <si>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</si>
  <si>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</si>
  <si>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</si>
  <si>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</si>
  <si>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</si>
  <si>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</si>
  <si>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</si>
  <si>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</si>
  <si>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</si>
  <si>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</si>
  <si>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</si>
  <si>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</si>
  <si>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</si>
  <si>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</si>
  <si>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</si>
  <si>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</si>
  <si>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</si>
  <si>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</si>
  <si>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</si>
  <si>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</si>
  <si>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</si>
  <si>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</si>
  <si>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</si>
  <si>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</si>
  <si>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</si>
  <si>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</si>
  <si>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</si>
  <si>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</si>
  <si>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</si>
  <si>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</si>
  <si>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</si>
  <si>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</si>
  <si>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</si>
  <si>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</si>
  <si>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</si>
  <si>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</si>
  <si>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</si>
  <si>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</si>
  <si>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</si>
  <si>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</si>
  <si>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</si>
  <si>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</si>
  <si>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</si>
  <si>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</si>
  <si>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</si>
  <si>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</si>
  <si>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</si>
  <si>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</si>
  <si>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</si>
  <si>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</si>
  <si>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</si>
  <si>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</si>
  <si>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</si>
  <si>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</si>
  <si>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</si>
  <si>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</si>
  <si>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</si>
  <si>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</si>
  <si>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</si>
  <si>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</si>
  <si>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</si>
  <si>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</si>
  <si>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</si>
  <si>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</si>
  <si>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</si>
  <si>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</si>
  <si>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</si>
  <si>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</si>
  <si>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</si>
  <si>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</si>
  <si>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</si>
  <si>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</si>
  <si>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</si>
  <si>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</si>
  <si>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</si>
  <si>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</si>
  <si>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</si>
  <si>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</si>
  <si>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</si>
  <si>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</si>
  <si>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</si>
  <si>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</si>
  <si>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</si>
  <si>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</si>
  <si>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</si>
  <si>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</si>
  <si>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</si>
  <si>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</si>
  <si>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</si>
  <si>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</si>
  <si>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</si>
  <si>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</si>
  <si>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</si>
  <si>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</si>
  <si>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</si>
  <si>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</si>
  <si>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</si>
  <si>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</si>
  <si>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</si>
  <si>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</si>
  <si>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</si>
  <si>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</si>
  <si>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</si>
  <si>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</si>
  <si>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</si>
  <si>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</si>
  <si>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</si>
  <si>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</si>
  <si>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</si>
  <si>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</si>
  <si>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</si>
  <si>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</si>
  <si>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</si>
  <si>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</si>
  <si>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</si>
  <si>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</si>
  <si>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</si>
  <si>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</si>
  <si>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</si>
  <si>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</si>
  <si>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</si>
  <si>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</si>
  <si>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</si>
  <si>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</si>
  <si>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</si>
  <si>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</si>
  <si>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</si>
  <si>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</si>
  <si>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</si>
  <si>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</si>
  <si>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</si>
  <si>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</si>
  <si>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</si>
  <si>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</si>
  <si>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</si>
  <si>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</si>
  <si>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</si>
  <si>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</si>
  <si>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</si>
  <si>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</si>
  <si>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</si>
  <si>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</si>
  <si>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</si>
  <si>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</si>
  <si>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</si>
  <si>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</si>
  <si>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</si>
  <si>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</si>
  <si>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</si>
  <si>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</si>
  <si>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</si>
  <si>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</si>
  <si>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</si>
  <si>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</si>
  <si>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</si>
  <si>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</si>
  <si>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</si>
  <si>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</si>
  <si>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</si>
  <si>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</si>
  <si>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</si>
  <si>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</si>
  <si>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</si>
  <si>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</si>
  <si>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</si>
  <si>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</si>
  <si>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</si>
  <si>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</si>
  <si>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</si>
  <si>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</si>
  <si>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</si>
  <si>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</si>
  <si>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</si>
  <si>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</si>
  <si>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</si>
  <si>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</si>
  <si>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</si>
  <si>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</si>
  <si>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</si>
  <si>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</si>
  <si>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</si>
  <si>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</si>
  <si>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</si>
  <si>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</si>
  <si>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</si>
  <si>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</si>
  <si>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</si>
  <si>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</si>
  <si>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</si>
  <si>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</si>
  <si>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</si>
  <si>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</si>
  <si>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</si>
  <si>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</si>
  <si>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</si>
  <si>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</si>
  <si>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</si>
  <si>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</si>
  <si>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</si>
  <si>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</si>
  <si>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</si>
  <si>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</si>
  <si>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</si>
  <si>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</si>
  <si>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</si>
  <si>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</si>
  <si>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</si>
  <si>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</si>
  <si>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</si>
  <si>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</si>
  <si>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</si>
  <si>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</si>
  <si>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</si>
  <si>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</si>
  <si>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</si>
  <si>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</si>
  <si>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</si>
  <si>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</si>
  <si>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</si>
  <si>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</si>
  <si>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</si>
  <si>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</si>
  <si>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</si>
  <si>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</si>
  <si>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</si>
  <si>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</si>
  <si>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</si>
  <si>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</si>
  <si>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</si>
  <si>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</si>
  <si>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</si>
  <si>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</si>
  <si>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</si>
  <si>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</si>
  <si>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</si>
  <si>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</si>
  <si>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</si>
  <si>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</si>
  <si>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</si>
  <si>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</si>
  <si>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</si>
  <si>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</si>
  <si>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</si>
  <si>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</si>
  <si>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</si>
  <si>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</si>
  <si>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</si>
  <si>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</si>
  <si>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</si>
  <si>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</si>
  <si>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</si>
  <si>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</si>
  <si>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</si>
  <si>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</si>
  <si>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</si>
  <si>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</si>
  <si>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</si>
  <si>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</si>
  <si>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</si>
  <si>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</si>
  <si>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</si>
  <si>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</si>
  <si>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</si>
  <si>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</si>
  <si>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</si>
  <si>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</si>
  <si>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</si>
  <si>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</si>
  <si>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</si>
  <si>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</si>
  <si>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</si>
  <si>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</si>
  <si>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</si>
  <si>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</si>
  <si>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</si>
  <si>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</si>
  <si>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</si>
  <si>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</si>
  <si>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</si>
  <si>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</si>
  <si>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</si>
  <si>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</si>
  <si>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</si>
  <si>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</si>
  <si>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</si>
  <si>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</si>
  <si>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</si>
  <si>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</si>
  <si>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</si>
  <si>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</si>
  <si>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</si>
  <si>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</si>
  <si>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</si>
  <si>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</si>
  <si>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</si>
  <si>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</si>
  <si>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</si>
  <si>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</si>
  <si>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</si>
  <si>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</si>
  <si>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</si>
  <si>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</si>
  <si>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</si>
  <si>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</si>
  <si>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</si>
  <si>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</si>
  <si>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</si>
  <si>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</si>
  <si>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</si>
  <si>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</si>
  <si>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</si>
  <si>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</si>
  <si>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</si>
  <si>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</si>
  <si>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</si>
  <si>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</si>
  <si>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</si>
  <si>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</si>
  <si>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</si>
  <si>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</si>
  <si>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</si>
  <si>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</si>
  <si>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</si>
  <si>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</si>
  <si>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</si>
  <si>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</si>
  <si>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</si>
  <si>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</si>
  <si>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</si>
  <si>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</si>
  <si>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</si>
  <si>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</si>
  <si>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</si>
  <si>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</si>
  <si>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</si>
  <si>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</si>
  <si>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</si>
  <si>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</si>
  <si>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</si>
  <si>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</si>
  <si>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</si>
  <si>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</si>
  <si>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</si>
  <si>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</si>
  <si>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</si>
  <si>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</si>
  <si>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</si>
  <si>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</si>
  <si>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</si>
  <si>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</si>
  <si>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</si>
  <si>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</si>
  <si>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</si>
  <si>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</si>
  <si>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</si>
  <si>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</si>
  <si>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</si>
  <si>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</si>
  <si>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</si>
  <si>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</si>
  <si>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</si>
  <si>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</si>
  <si>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</si>
  <si>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</si>
  <si>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</si>
  <si>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</si>
  <si>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</si>
  <si>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</si>
  <si>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</si>
  <si>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</si>
  <si>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</si>
  <si>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</si>
  <si>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</si>
  <si>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</si>
  <si>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</si>
  <si>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</si>
  <si>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</si>
  <si>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</si>
  <si>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</si>
  <si>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</si>
  <si>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</si>
  <si>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</si>
  <si>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</si>
  <si>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</si>
  <si>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</si>
  <si>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</si>
  <si>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</si>
  <si>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</si>
  <si>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</si>
  <si>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</si>
  <si>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</si>
  <si>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</si>
  <si>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</si>
  <si>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</si>
  <si>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</si>
  <si>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</si>
  <si>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</si>
  <si>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</si>
  <si>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</si>
  <si>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</si>
  <si>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</si>
  <si>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</si>
  <si>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</si>
  <si>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</si>
  <si>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</si>
  <si>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</si>
  <si>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</si>
  <si>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</si>
  <si>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</si>
  <si>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</si>
  <si>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</si>
  <si>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</si>
  <si>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</si>
  <si>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</si>
  <si>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</si>
  <si>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</si>
  <si>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</si>
  <si>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</si>
  <si>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</si>
  <si>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</si>
  <si>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</si>
  <si>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</si>
  <si>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</si>
  <si>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</si>
  <si>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</si>
  <si>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</si>
  <si>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</si>
  <si>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</si>
  <si>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</si>
  <si>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</si>
  <si>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</si>
  <si>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</si>
  <si>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</si>
  <si>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</si>
  <si>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</si>
  <si>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</si>
  <si>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</si>
  <si>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</si>
  <si>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</si>
  <si>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</si>
  <si>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</si>
  <si>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</si>
  <si>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</si>
  <si>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</si>
  <si>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</si>
  <si>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</si>
  <si>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</si>
  <si>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</si>
  <si>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</si>
  <si>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</si>
  <si>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</si>
  <si>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</si>
  <si>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</si>
  <si>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</si>
  <si>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</si>
  <si>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</si>
  <si>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</si>
  <si>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</si>
  <si>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</si>
  <si>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</si>
  <si>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</si>
  <si>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</si>
  <si>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</si>
  <si>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</si>
  <si>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</si>
  <si>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</si>
  <si>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</si>
  <si>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</si>
  <si>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</si>
  <si>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</si>
  <si>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</si>
  <si>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</si>
  <si>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</si>
  <si>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</si>
  <si>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</si>
  <si>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</si>
  <si>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</si>
  <si>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</si>
  <si>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</si>
  <si>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</si>
  <si>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</si>
  <si>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</si>
  <si>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</si>
  <si>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</si>
  <si>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</si>
  <si>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</si>
  <si>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</si>
  <si>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</si>
  <si>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</si>
  <si>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</si>
  <si>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</si>
  <si>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</si>
  <si>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</si>
  <si>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</si>
  <si>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</si>
  <si>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</si>
  <si>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</si>
  <si>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</si>
  <si>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</si>
  <si>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</si>
  <si>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</si>
  <si>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</si>
  <si>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</si>
  <si>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</si>
  <si>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</si>
  <si>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</si>
  <si>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</si>
  <si>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</si>
  <si>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</si>
  <si>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</si>
  <si>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</si>
  <si>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</si>
  <si>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</si>
  <si>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</si>
  <si>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</si>
  <si>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</si>
  <si>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</si>
  <si>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</si>
  <si>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</si>
  <si>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</si>
  <si>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</si>
  <si>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</si>
  <si>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</si>
  <si>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</si>
  <si>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</si>
  <si>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</si>
  <si>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</si>
  <si>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</si>
  <si>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</si>
  <si>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</si>
  <si>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</si>
  <si>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</si>
  <si>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</si>
  <si>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</si>
  <si>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</si>
  <si>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</si>
  <si>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</si>
  <si>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</si>
  <si>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</si>
  <si>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</si>
  <si>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</si>
  <si>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</si>
  <si>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</si>
  <si>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</si>
  <si>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</si>
  <si>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</si>
  <si>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</si>
  <si>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</si>
  <si>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</si>
  <si>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</si>
  <si>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</si>
  <si>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</si>
  <si>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</si>
  <si>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</si>
  <si>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</si>
  <si>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</si>
  <si>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</si>
  <si>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</si>
  <si>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</si>
  <si>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</si>
  <si>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</si>
  <si>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</si>
  <si>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</si>
  <si>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</si>
  <si>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</si>
  <si>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</si>
  <si>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</si>
  <si>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</si>
  <si>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</si>
  <si>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</si>
  <si>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</si>
  <si>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</si>
  <si>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</si>
  <si>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</si>
  <si>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</si>
  <si>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</si>
  <si>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</si>
  <si>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</si>
  <si>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</si>
  <si>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</si>
  <si>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</si>
  <si>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</si>
  <si>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</si>
  <si>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</si>
  <si>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</si>
  <si>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</si>
  <si>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</si>
  <si>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</si>
  <si>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</si>
  <si>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</si>
  <si>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</si>
  <si>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</si>
  <si>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</si>
  <si>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</si>
  <si>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</si>
  <si>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</si>
  <si>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</si>
  <si>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</si>
  <si>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</si>
  <si>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</si>
  <si>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</si>
  <si>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</si>
  <si>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</si>
  <si>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</si>
  <si>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</si>
  <si>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</si>
  <si>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</si>
  <si>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</si>
  <si>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</si>
  <si>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</si>
  <si>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</si>
  <si>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</si>
  <si>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</si>
  <si>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</si>
  <si>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</si>
  <si>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</si>
  <si>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</si>
  <si>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</si>
  <si>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</si>
  <si>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</si>
  <si>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</si>
  <si>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</si>
  <si>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</si>
  <si>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</si>
  <si>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</si>
  <si>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</si>
  <si>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</si>
  <si>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</si>
  <si>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</si>
  <si>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</si>
  <si>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</si>
  <si>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</si>
  <si>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</si>
  <si>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</si>
  <si>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</si>
  <si>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</si>
  <si>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</si>
  <si>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</si>
  <si>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</si>
  <si>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</si>
  <si>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</si>
  <si>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</si>
  <si>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</si>
  <si>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</si>
  <si>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</si>
  <si>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</si>
  <si>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</si>
  <si>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</si>
  <si>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</si>
  <si>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</si>
  <si>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</si>
  <si>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</si>
  <si>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</si>
  <si>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</si>
  <si>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</si>
  <si>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</si>
  <si>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</si>
  <si>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</si>
  <si>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</si>
  <si>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</si>
  <si>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</si>
  <si>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</si>
  <si>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</si>
  <si>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</si>
  <si>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</si>
  <si>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</si>
  <si>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</si>
  <si>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</si>
  <si>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</si>
  <si>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</si>
  <si>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</si>
  <si>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</si>
  <si>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</si>
  <si>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</si>
  <si>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</si>
  <si>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</si>
  <si>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</si>
  <si>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</si>
  <si>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</si>
  <si>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</si>
  <si>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</si>
  <si>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</si>
  <si>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</si>
  <si>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</si>
  <si>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</si>
  <si>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</si>
  <si>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</si>
  <si>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</si>
  <si>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</si>
  <si>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</si>
  <si>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</si>
  <si>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</si>
  <si>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</si>
  <si>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</si>
  <si>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</si>
  <si>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</si>
  <si>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</si>
  <si>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</si>
  <si>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</si>
  <si>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</si>
  <si>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</si>
  <si>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</si>
  <si>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</si>
  <si>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</si>
  <si>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</si>
  <si>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</si>
  <si>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</si>
  <si>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</si>
  <si>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</si>
  <si>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</si>
  <si>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</si>
  <si>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</si>
  <si>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</si>
  <si>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</si>
  <si>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</si>
  <si>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</si>
  <si>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</si>
  <si>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</si>
  <si>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</si>
  <si>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</si>
  <si>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</si>
  <si>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</si>
  <si>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</si>
  <si>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</si>
  <si>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</si>
  <si>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</si>
  <si>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</si>
  <si>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</si>
  <si>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</si>
  <si>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</si>
  <si>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</si>
  <si>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</si>
  <si>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</si>
  <si>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</si>
  <si>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</si>
  <si>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</si>
  <si>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</si>
  <si>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</si>
  <si>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</si>
  <si>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</si>
  <si>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</si>
  <si>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</si>
  <si>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</si>
  <si>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</si>
  <si>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</si>
  <si>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</si>
  <si>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</si>
  <si>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</si>
  <si>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</si>
  <si>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</si>
  <si>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</si>
  <si>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</si>
  <si>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</si>
  <si>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</si>
  <si>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</si>
  <si>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</si>
  <si>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</si>
  <si>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</si>
  <si>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</si>
  <si>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</si>
  <si>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</si>
  <si>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</si>
  <si>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</si>
  <si>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</si>
  <si>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</si>
  <si>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</si>
  <si>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</si>
  <si>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</si>
  <si>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</si>
  <si>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</si>
  <si>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</si>
  <si>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</si>
  <si>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</si>
  <si>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</si>
  <si>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</si>
  <si>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</si>
  <si>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</si>
  <si>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</si>
  <si>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</si>
  <si>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</si>
  <si>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</si>
  <si>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</si>
  <si>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</si>
  <si>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</si>
  <si>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</si>
  <si>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</si>
  <si>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</si>
  <si>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</si>
  <si>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</si>
  <si>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</si>
  <si>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</si>
  <si>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</si>
  <si>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</si>
  <si>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</si>
  <si>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</si>
  <si>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</si>
  <si>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</si>
  <si>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</si>
  <si>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</si>
  <si>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</si>
  <si>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</si>
  <si>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</si>
  <si>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</si>
  <si>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</si>
  <si>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</si>
  <si>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</si>
  <si>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</si>
  <si>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</si>
  <si>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</si>
  <si>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</si>
  <si>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</si>
  <si>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</si>
  <si>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</si>
  <si>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</si>
  <si>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</si>
  <si>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</si>
  <si>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</si>
  <si>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</si>
  <si>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</si>
  <si>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</si>
  <si>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</si>
  <si>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</si>
  <si>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</si>
  <si>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</si>
  <si>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</si>
  <si>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</si>
  <si>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</si>
  <si>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</si>
  <si>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</si>
  <si>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</si>
  <si>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</si>
  <si>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</si>
  <si>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</si>
  <si>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</si>
  <si>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</si>
  <si>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</si>
  <si>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</si>
  <si>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</si>
  <si>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</si>
  <si>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</si>
  <si>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</si>
  <si>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</si>
  <si>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</si>
  <si>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</si>
  <si>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</si>
  <si>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</si>
  <si>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</si>
  <si>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</si>
  <si>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</si>
  <si>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</si>
  <si>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</si>
  <si>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</si>
  <si>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</si>
  <si>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</si>
  <si>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</si>
  <si>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</si>
  <si>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</si>
  <si>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</si>
  <si>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</si>
  <si>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</si>
  <si>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</si>
  <si>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</si>
  <si>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</si>
  <si>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</si>
  <si>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</si>
  <si>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</si>
  <si>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</si>
  <si>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</si>
  <si>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</si>
  <si>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</si>
  <si>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</si>
  <si>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</si>
  <si>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</si>
  <si>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</si>
  <si>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</si>
  <si>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</si>
  <si>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</si>
  <si>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</si>
  <si>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</si>
  <si>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</si>
  <si>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</si>
  <si>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</si>
  <si>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</si>
  <si>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</si>
  <si>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</si>
  <si>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</si>
  <si>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</si>
  <si>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</si>
  <si>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</si>
  <si>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</si>
  <si>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</si>
  <si>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</si>
  <si>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</si>
  <si>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</si>
  <si>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</si>
  <si>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</si>
  <si>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</si>
  <si>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</si>
  <si>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</si>
  <si>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</si>
  <si>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</si>
  <si>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</si>
  <si>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</si>
  <si>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</si>
  <si>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</si>
  <si>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</si>
  <si>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</si>
  <si>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</si>
  <si>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</si>
  <si>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</si>
  <si>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</si>
  <si>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</si>
  <si>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</si>
  <si>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</si>
  <si>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</si>
  <si>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</si>
  <si>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</si>
  <si>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</si>
  <si>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</si>
  <si>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</si>
  <si>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</si>
  <si>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</si>
  <si>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</si>
  <si>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</si>
  <si>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</si>
  <si>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</si>
  <si>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</si>
  <si>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</si>
  <si>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</si>
  <si>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</si>
  <si>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</si>
  <si>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</si>
  <si>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</si>
  <si>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</si>
  <si>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</si>
  <si>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</si>
  <si>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</si>
  <si>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</si>
  <si>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</si>
  <si>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</si>
  <si>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</si>
  <si>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</si>
  <si>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</si>
  <si>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</si>
  <si>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</si>
  <si>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</si>
  <si>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</si>
  <si>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</si>
  <si>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</si>
  <si>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</si>
  <si>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</si>
  <si>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</si>
  <si>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</si>
  <si>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</si>
  <si>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</si>
  <si>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</si>
  <si>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</si>
  <si>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</si>
  <si>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</si>
  <si>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</si>
  <si>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</si>
  <si>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</si>
  <si>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</si>
  <si>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</si>
  <si>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</si>
  <si>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</si>
  <si>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</si>
  <si>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</si>
  <si>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</si>
  <si>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</si>
  <si>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</si>
  <si>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</si>
  <si>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</si>
  <si>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</si>
  <si>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</si>
  <si>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</si>
  <si>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</si>
  <si>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</si>
  <si>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</si>
  <si>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</si>
  <si>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</si>
  <si>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</si>
  <si>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</si>
  <si>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</si>
  <si>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</si>
  <si>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</si>
  <si>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</si>
  <si>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</si>
  <si>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</si>
  <si>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</si>
  <si>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</si>
  <si>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</si>
  <si>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</si>
  <si>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</si>
  <si>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</si>
  <si>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</si>
  <si>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</si>
  <si>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</si>
  <si>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</si>
  <si>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</si>
  <si>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</si>
  <si>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</si>
  <si>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</si>
  <si>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</si>
  <si>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</si>
  <si>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</si>
  <si>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</si>
  <si>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</si>
  <si>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</si>
  <si>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</si>
  <si>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</si>
  <si>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</si>
  <si>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</si>
  <si>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</si>
  <si>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</si>
  <si>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</si>
  <si>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</si>
  <si>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</si>
  <si>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</si>
  <si>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</si>
  <si>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</si>
  <si>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</si>
  <si>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</si>
  <si>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</si>
  <si>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</si>
  <si>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</si>
  <si>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</si>
  <si>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</si>
  <si>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</si>
  <si>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</si>
  <si>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</si>
  <si>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</si>
  <si>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</si>
  <si>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</si>
  <si>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</si>
  <si>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</si>
  <si>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</si>
  <si>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</si>
  <si>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</si>
  <si>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</si>
  <si>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</si>
  <si>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</si>
  <si>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</si>
  <si>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</si>
  <si>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</si>
  <si>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</si>
  <si>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</si>
  <si>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</si>
  <si>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</si>
  <si>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</si>
  <si>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</si>
  <si>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</si>
  <si>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</si>
  <si>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</si>
  <si>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</si>
  <si>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</si>
  <si>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</si>
  <si>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</si>
  <si>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</si>
  <si>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</si>
  <si>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</si>
  <si>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</si>
  <si>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</si>
  <si>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</si>
  <si>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</si>
  <si>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</si>
  <si>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</si>
  <si>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</si>
  <si>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</si>
  <si>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</si>
  <si>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</si>
  <si>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</si>
  <si>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</si>
  <si>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</si>
  <si>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</si>
  <si>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</si>
  <si>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</si>
  <si>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</si>
  <si>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</si>
  <si>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</si>
  <si>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</si>
  <si>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</si>
  <si>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</si>
  <si>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</si>
  <si>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</si>
  <si>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</si>
  <si>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</si>
  <si>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</si>
  <si>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</si>
  <si>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</si>
  <si>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</si>
  <si>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</si>
  <si>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</si>
  <si>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</si>
  <si>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</si>
  <si>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</si>
  <si>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</si>
  <si>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</si>
  <si>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</si>
  <si>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</si>
  <si>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</si>
  <si>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</si>
  <si>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</si>
  <si>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</si>
  <si>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</si>
  <si>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</si>
  <si>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</si>
  <si>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</si>
  <si>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</si>
  <si>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</si>
  <si>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</si>
  <si>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</si>
  <si>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</si>
  <si>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</si>
  <si>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</si>
  <si>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</si>
  <si>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</si>
  <si>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</si>
  <si>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</si>
  <si>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</si>
  <si>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</si>
  <si>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</si>
  <si>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</si>
  <si>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</si>
  <si>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</si>
  <si>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</si>
  <si>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</si>
  <si>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</si>
  <si>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</si>
  <si>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</si>
  <si>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</si>
  <si>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</si>
  <si>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</si>
  <si>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</si>
  <si>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</si>
  <si>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</si>
  <si>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</si>
  <si>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</si>
  <si>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</si>
  <si>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</si>
  <si>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</si>
  <si>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</si>
  <si>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</si>
  <si>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</si>
  <si>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</si>
  <si>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</si>
  <si>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</si>
  <si>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</si>
  <si>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</si>
  <si>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</si>
  <si>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</si>
  <si>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</si>
  <si>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</si>
  <si>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</si>
  <si>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</si>
  <si>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</si>
  <si>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</si>
  <si>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</si>
  <si>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</si>
  <si>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</si>
  <si>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</si>
  <si>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</si>
  <si>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</si>
  <si>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</si>
  <si>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</si>
  <si>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</si>
  <si>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</si>
  <si>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</si>
  <si>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</si>
  <si>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</si>
  <si>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</si>
  <si>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</si>
  <si>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</si>
  <si>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</si>
  <si>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</si>
  <si>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</si>
  <si>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</si>
  <si>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</si>
  <si>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</si>
  <si>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</si>
  <si>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</si>
  <si>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</si>
  <si>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</si>
  <si>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</si>
  <si>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</si>
  <si>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</si>
  <si>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</si>
  <si>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</si>
  <si>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</si>
  <si>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</si>
  <si>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</si>
  <si>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</si>
  <si>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</si>
  <si>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</si>
  <si>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</si>
  <si>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</si>
  <si>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</si>
  <si>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</si>
  <si>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</si>
  <si>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</si>
  <si>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</si>
  <si>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</si>
  <si>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</si>
  <si>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</si>
  <si>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</si>
  <si>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</si>
  <si>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</si>
  <si>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</si>
  <si>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</si>
  <si>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</si>
  <si>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</si>
  <si>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</si>
  <si>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</si>
  <si>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</si>
  <si>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</si>
  <si>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</si>
  <si>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</si>
  <si>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</si>
  <si>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</si>
  <si>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</si>
  <si>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</si>
  <si>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</si>
  <si>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</si>
  <si>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</si>
  <si>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</si>
  <si>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</si>
  <si>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</si>
  <si>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</si>
  <si>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</si>
  <si>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</si>
  <si>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</si>
  <si>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</si>
  <si>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</si>
  <si>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</si>
  <si>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</si>
  <si>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</si>
  <si>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</si>
  <si>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</si>
  <si>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</si>
  <si>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</si>
  <si>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</si>
  <si>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</si>
  <si>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</si>
  <si>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</si>
  <si>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</si>
  <si>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</si>
  <si>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</si>
  <si>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</si>
  <si>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</si>
  <si>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</si>
  <si>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</si>
  <si>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</si>
  <si>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</si>
  <si>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</si>
  <si>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</si>
  <si>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</si>
  <si>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</si>
  <si>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</si>
  <si>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</si>
  <si>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</si>
  <si>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</si>
  <si>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</si>
  <si>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</si>
  <si>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</si>
  <si>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</si>
  <si>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</si>
  <si>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</si>
  <si>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</si>
  <si>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</si>
  <si>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</si>
  <si>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</si>
  <si>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</si>
  <si>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</si>
  <si>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</si>
  <si>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</si>
  <si>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</si>
  <si>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</si>
  <si>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</si>
  <si>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</si>
  <si>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</si>
  <si>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</si>
  <si>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</si>
  <si>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</si>
  <si>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</si>
  <si>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</si>
  <si>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</si>
  <si>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</si>
  <si>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</si>
  <si>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</si>
  <si>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</si>
  <si>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</si>
  <si>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</si>
  <si>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</si>
  <si>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</si>
  <si>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</si>
  <si>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</si>
  <si>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</si>
  <si>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</si>
  <si>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</si>
  <si>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</si>
  <si>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</si>
  <si>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</si>
  <si>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</si>
  <si>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</si>
  <si>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</si>
  <si>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</si>
  <si>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</si>
  <si>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</si>
  <si>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</si>
  <si>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</si>
  <si>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</si>
  <si>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</si>
  <si>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</si>
  <si>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</si>
  <si>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</si>
  <si>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</si>
  <si>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</si>
  <si>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</si>
  <si>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</si>
  <si>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</si>
  <si>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</si>
  <si>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</si>
  <si>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</si>
  <si>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</si>
  <si>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</si>
  <si>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</si>
  <si>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</si>
  <si>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</si>
  <si>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</si>
  <si>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</si>
  <si>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</si>
  <si>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</si>
  <si>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</si>
  <si>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</si>
  <si>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</si>
  <si>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</si>
  <si>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</si>
  <si>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</si>
  <si>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</si>
  <si>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</si>
  <si>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</si>
  <si>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</si>
  <si>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</si>
  <si>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</si>
  <si>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</si>
  <si>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</si>
  <si>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</si>
  <si>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</si>
  <si>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</si>
  <si>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</si>
  <si>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</si>
  <si>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</si>
  <si>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</si>
  <si>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</si>
  <si>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</si>
  <si>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</si>
  <si>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</si>
  <si>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</si>
  <si>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</si>
  <si>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</si>
  <si>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</si>
  <si>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</si>
  <si>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</si>
  <si>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</si>
  <si>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</si>
  <si>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</si>
  <si>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</si>
  <si>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</si>
  <si>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</si>
  <si>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</si>
  <si>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</si>
  <si>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</si>
  <si>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</si>
  <si>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</si>
  <si>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</si>
  <si>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</si>
  <si>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</si>
  <si>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</si>
  <si>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</si>
  <si>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</si>
  <si>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</si>
  <si>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</si>
  <si>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</si>
  <si>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</si>
  <si>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</si>
  <si>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</si>
  <si>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</si>
  <si>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</si>
  <si>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</si>
  <si>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</si>
  <si>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</si>
  <si>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</si>
  <si>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</si>
  <si>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</si>
  <si>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</si>
  <si>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</si>
  <si>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</si>
  <si>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</si>
  <si>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</si>
  <si>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</si>
  <si>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</si>
  <si>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</si>
  <si>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</si>
  <si>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</si>
  <si>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</si>
  <si>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</si>
  <si>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</si>
  <si>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</si>
  <si>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</si>
  <si>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</si>
  <si>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</si>
  <si>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</si>
  <si>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</si>
  <si>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</si>
  <si>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</si>
  <si>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</si>
  <si>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</si>
  <si>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</si>
  <si>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</si>
  <si>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</si>
  <si>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</si>
  <si>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</si>
  <si>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</si>
  <si>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</si>
  <si>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</si>
  <si>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</si>
  <si>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</si>
  <si>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</si>
  <si>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</si>
  <si>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</si>
  <si>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</si>
  <si>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</si>
  <si>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</si>
  <si>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</si>
  <si>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</si>
  <si>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</si>
  <si>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</si>
  <si>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</si>
  <si>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</si>
  <si>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</si>
  <si>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</si>
  <si>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</si>
  <si>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</si>
  <si>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</si>
  <si>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</si>
  <si>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</si>
  <si>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</si>
  <si>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</si>
  <si>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</si>
  <si>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</si>
  <si>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</si>
  <si>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</si>
  <si>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</si>
  <si>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</si>
  <si>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</si>
  <si>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</si>
  <si>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</si>
  <si>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</si>
  <si>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</si>
  <si>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</si>
  <si>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</si>
  <si>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</si>
  <si>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</si>
  <si>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</si>
  <si>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</si>
  <si>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</si>
  <si>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</si>
  <si>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</si>
  <si>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</si>
  <si>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</si>
  <si>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</si>
  <si>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</si>
  <si>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</si>
  <si>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</si>
  <si>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</si>
  <si>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</si>
  <si>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</si>
  <si>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</si>
  <si>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</si>
  <si>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</si>
  <si>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</si>
  <si>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</si>
  <si>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</si>
  <si>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</si>
  <si>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</si>
  <si>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</si>
  <si>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</si>
  <si>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</si>
  <si>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</si>
  <si>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</si>
  <si>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</si>
  <si>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</si>
  <si>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</si>
  <si>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</si>
  <si>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</si>
  <si>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</si>
  <si>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</si>
  <si>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</si>
  <si>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</si>
  <si>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</si>
  <si>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</si>
  <si>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</si>
  <si>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</si>
  <si>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</si>
  <si>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</si>
  <si>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</si>
  <si>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</si>
  <si>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</si>
  <si>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</si>
  <si>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</si>
  <si>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</si>
  <si>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</si>
  <si>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</si>
  <si>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</si>
  <si>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</si>
  <si>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</si>
  <si>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</si>
  <si>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</si>
  <si>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</si>
  <si>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</si>
  <si>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</si>
  <si>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</si>
  <si>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</si>
  <si>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</si>
  <si>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</si>
  <si>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</si>
  <si>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</si>
  <si>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</si>
  <si>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</si>
  <si>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</si>
  <si>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</si>
  <si>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</si>
  <si>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</si>
  <si>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</si>
  <si>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</si>
  <si>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</si>
  <si>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</si>
  <si>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</si>
  <si>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</si>
  <si>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</si>
  <si>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</si>
  <si>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</si>
  <si>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</si>
  <si>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</si>
  <si>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</si>
  <si>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</si>
  <si>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</si>
  <si>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</si>
  <si>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</si>
  <si>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</si>
  <si>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</si>
  <si>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</si>
  <si>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</si>
  <si>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</si>
  <si>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</si>
  <si>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</si>
  <si>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</si>
  <si>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</si>
  <si>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</si>
  <si>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</si>
  <si>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</si>
  <si>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</si>
  <si>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</si>
  <si>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</si>
  <si>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</si>
  <si>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</si>
  <si>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</si>
  <si>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</si>
  <si>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</si>
  <si>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</si>
  <si>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</si>
  <si>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</si>
  <si>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</si>
  <si>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</si>
  <si>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</si>
  <si>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</si>
  <si>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</si>
  <si>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</si>
  <si>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</si>
  <si>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</si>
  <si>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</si>
  <si>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</si>
  <si>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</si>
  <si>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</si>
  <si>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</si>
  <si>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</si>
  <si>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</si>
  <si>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</si>
  <si>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</si>
  <si>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</si>
  <si>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</si>
  <si>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</si>
  <si>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</si>
  <si>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</si>
  <si>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</si>
  <si>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</si>
  <si>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</si>
  <si>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</si>
  <si>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</si>
  <si>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</si>
  <si>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</si>
  <si>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</si>
  <si>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</si>
  <si>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</si>
  <si>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</si>
  <si>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</si>
  <si>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</si>
  <si>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</si>
  <si>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</si>
  <si>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</si>
  <si>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</si>
  <si>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</si>
  <si>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</si>
  <si>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</si>
  <si>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</si>
  <si>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</si>
  <si>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</si>
  <si>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</si>
  <si>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</si>
  <si>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</si>
  <si>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</si>
  <si>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</si>
  <si>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</si>
  <si>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</si>
  <si>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</si>
  <si>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</si>
  <si>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</si>
  <si>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</si>
  <si>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</si>
  <si>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</si>
  <si>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</si>
  <si>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</si>
  <si>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</si>
  <si>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</si>
  <si>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</si>
  <si>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</si>
  <si>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</si>
  <si>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</si>
  <si>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</si>
  <si>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</si>
  <si>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</si>
  <si>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</si>
  <si>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</si>
  <si>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</si>
  <si>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</si>
  <si>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</si>
  <si>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</si>
  <si>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</si>
  <si>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</si>
  <si>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</si>
  <si>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</si>
  <si>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</si>
  <si>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</si>
  <si>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</si>
  <si>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</si>
  <si>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</si>
  <si>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</si>
  <si>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</si>
  <si>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</si>
  <si>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</si>
  <si>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</si>
  <si>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</si>
  <si>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</si>
  <si>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</si>
  <si>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</si>
  <si>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</si>
  <si>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</si>
  <si>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</si>
  <si>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</si>
  <si>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</si>
  <si>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</si>
  <si>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</si>
  <si>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</si>
  <si>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</si>
  <si>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</si>
  <si>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</si>
  <si>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</si>
  <si>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</si>
  <si>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</si>
  <si>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</si>
  <si>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</si>
  <si>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</si>
  <si>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</si>
  <si>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</si>
  <si>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</si>
  <si>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</si>
  <si>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</si>
  <si>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</si>
  <si>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</si>
  <si>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</si>
  <si>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</si>
  <si>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</si>
  <si>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</si>
  <si>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</si>
  <si>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</si>
  <si>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</si>
  <si>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</si>
  <si>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</si>
  <si>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</si>
  <si>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</si>
  <si>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</si>
  <si>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</si>
  <si>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</si>
  <si>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</si>
  <si>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</si>
  <si>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</si>
  <si>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</si>
  <si>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</si>
  <si>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</si>
  <si>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</si>
  <si>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</si>
  <si>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</si>
  <si>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</si>
  <si>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</si>
  <si>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</si>
  <si>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</si>
  <si>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</si>
  <si>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</si>
  <si>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</si>
  <si>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</si>
  <si>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</si>
  <si>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</si>
  <si>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</si>
  <si>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</si>
  <si>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</si>
  <si>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</si>
  <si>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</si>
  <si>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</si>
  <si>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</si>
  <si>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</si>
  <si>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</si>
  <si>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</si>
  <si>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</si>
  <si>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</si>
  <si>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</si>
  <si>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</si>
  <si>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</si>
  <si>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</si>
  <si>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</si>
  <si>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</si>
  <si>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</si>
  <si>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</si>
  <si>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</si>
  <si>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</si>
  <si>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</si>
  <si>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</si>
  <si>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</si>
  <si>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</si>
  <si>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</si>
  <si>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</si>
  <si>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</si>
  <si>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</si>
  <si>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</si>
  <si>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</si>
  <si>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</si>
  <si>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</si>
  <si>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</si>
  <si>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</si>
  <si>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</si>
  <si>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</si>
  <si>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</si>
  <si>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</si>
  <si>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</si>
  <si>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</si>
  <si>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</si>
  <si>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</si>
  <si>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</si>
  <si>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</si>
  <si>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</si>
  <si>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</si>
  <si>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</si>
  <si>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</si>
  <si>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</si>
  <si>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</si>
  <si>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</si>
  <si>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</si>
  <si>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</si>
  <si>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</si>
  <si>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</si>
  <si>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</si>
  <si>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</si>
  <si>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</si>
  <si>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</si>
  <si>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</si>
  <si>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</si>
  <si>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</si>
  <si>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</si>
  <si>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</si>
  <si>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</si>
  <si>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</si>
  <si>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</si>
  <si>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</si>
  <si>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</si>
  <si>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</si>
  <si>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</si>
  <si>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</si>
  <si>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</si>
  <si>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</si>
  <si>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</si>
  <si>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</si>
  <si>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</si>
  <si>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</si>
  <si>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</si>
  <si>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</si>
  <si>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</si>
  <si>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</si>
  <si>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</si>
  <si>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</si>
  <si>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</si>
  <si>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</si>
  <si>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</si>
  <si>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</si>
  <si>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</si>
  <si>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</si>
  <si>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</si>
  <si>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</si>
  <si>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</si>
  <si>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</si>
  <si>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</si>
  <si>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</si>
  <si>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</si>
  <si>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</si>
  <si>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</si>
  <si>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</si>
  <si>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</si>
  <si>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</si>
  <si>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</si>
  <si>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</si>
  <si>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</si>
  <si>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</si>
  <si>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</si>
  <si>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</si>
  <si>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</si>
  <si>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</si>
  <si>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</si>
  <si>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</si>
  <si>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</si>
  <si>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</si>
  <si>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</si>
  <si>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</si>
  <si>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</si>
  <si>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</si>
  <si>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</si>
  <si>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</si>
  <si>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</si>
  <si>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</si>
  <si>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</si>
  <si>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</si>
  <si>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</si>
  <si>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</si>
  <si>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</si>
  <si>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</si>
  <si>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</si>
  <si>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</si>
  <si>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</si>
  <si>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</si>
  <si>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</si>
  <si>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</si>
  <si>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</si>
  <si>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</si>
  <si>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</si>
  <si>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</si>
  <si>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</si>
  <si>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</si>
  <si>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</si>
  <si>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</si>
  <si>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</si>
  <si>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</si>
  <si>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</si>
  <si>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</si>
  <si>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</si>
  <si>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</si>
  <si>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</si>
  <si>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</si>
  <si>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</si>
  <si>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</si>
  <si>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</si>
  <si>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</si>
  <si>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</si>
  <si>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</si>
  <si>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</si>
  <si>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</si>
  <si>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</si>
  <si>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</si>
  <si>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</si>
  <si>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</si>
  <si>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</si>
  <si>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</si>
  <si>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</si>
  <si>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</si>
  <si>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</si>
  <si>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</si>
  <si>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</si>
  <si>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</si>
  <si>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</si>
  <si>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</si>
  <si>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</si>
  <si>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</si>
  <si>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</si>
  <si>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</si>
  <si>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</si>
  <si>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</si>
  <si>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</si>
  <si>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</si>
  <si>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</si>
  <si>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</si>
  <si>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</si>
  <si>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</si>
  <si>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</si>
  <si>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</si>
  <si>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</si>
  <si>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</si>
  <si>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</si>
  <si>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</si>
  <si>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</si>
  <si>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</si>
  <si>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</si>
  <si>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</si>
  <si>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</si>
  <si>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</si>
  <si>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</si>
  <si>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</si>
  <si>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</si>
  <si>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</si>
  <si>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</si>
  <si>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</si>
  <si>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</si>
  <si>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</si>
  <si>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</si>
  <si>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</si>
  <si>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</si>
  <si>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</si>
  <si>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</si>
  <si>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</si>
  <si>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</si>
  <si>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</si>
  <si>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</si>
  <si>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</si>
  <si>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</si>
  <si>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</si>
  <si>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</si>
  <si>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</si>
  <si>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</si>
  <si>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</si>
  <si>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</si>
  <si>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</si>
  <si>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</si>
  <si>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</si>
  <si>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</si>
  <si>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</si>
  <si>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</si>
  <si>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</si>
  <si>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</si>
  <si>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</si>
  <si>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</si>
  <si>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</si>
  <si>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</si>
  <si>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</si>
  <si>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</si>
  <si>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</si>
  <si>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</si>
  <si>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</si>
  <si>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</si>
  <si>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</si>
  <si>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</si>
  <si>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</si>
  <si>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</si>
  <si>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</si>
  <si>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</si>
  <si>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</si>
  <si>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</si>
  <si>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</si>
  <si>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</si>
  <si>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</si>
  <si>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</si>
  <si>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</si>
  <si>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</si>
  <si>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</si>
  <si>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</si>
  <si>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</si>
  <si>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</si>
  <si>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</si>
  <si>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</si>
  <si>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</si>
  <si>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</si>
  <si>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</si>
  <si>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</si>
  <si>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</si>
  <si>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</si>
  <si>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</si>
  <si>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</si>
  <si>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</si>
  <si>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</si>
  <si>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</si>
  <si>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</si>
  <si>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</si>
  <si>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</si>
  <si>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</si>
  <si>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</si>
  <si>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</si>
  <si>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</si>
  <si>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</si>
  <si>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</si>
  <si>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</si>
  <si>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</si>
  <si>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</si>
  <si>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</si>
  <si>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</si>
  <si>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</si>
  <si>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</si>
  <si>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</si>
  <si>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</si>
  <si>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</si>
  <si>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</si>
  <si>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</si>
  <si>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</si>
  <si>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</si>
  <si>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</si>
  <si>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</si>
  <si>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</si>
  <si>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</si>
  <si>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</si>
  <si>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</si>
  <si>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</si>
  <si>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</si>
  <si>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</si>
  <si>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</si>
  <si>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</si>
  <si>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</si>
  <si>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</si>
  <si>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</si>
  <si>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</si>
  <si>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</si>
  <si>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</si>
  <si>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</si>
  <si>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</si>
  <si>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</si>
  <si>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</si>
  <si>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</si>
  <si>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</si>
  <si>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</si>
  <si>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</si>
  <si>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</si>
  <si>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</si>
  <si>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</si>
  <si>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</si>
  <si>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</si>
  <si>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</si>
  <si>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</si>
  <si>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</si>
  <si>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</si>
  <si>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</si>
  <si>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</si>
  <si>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</si>
  <si>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</si>
  <si>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</si>
  <si>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</si>
  <si>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</si>
  <si>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</si>
  <si>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</si>
  <si>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</si>
  <si>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</si>
  <si>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</si>
  <si>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</si>
  <si>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</si>
  <si>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</si>
  <si>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</si>
  <si>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</si>
  <si>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</si>
  <si>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</si>
  <si>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</si>
  <si>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</si>
  <si>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</si>
  <si>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</si>
  <si>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</si>
  <si>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</si>
  <si>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</si>
  <si>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</si>
  <si>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</si>
  <si>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</si>
  <si>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</si>
  <si>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</si>
  <si>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</si>
  <si>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</si>
  <si>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</si>
  <si>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</si>
  <si>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</si>
  <si>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</si>
  <si>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</si>
  <si>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</si>
  <si>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</si>
  <si>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</si>
  <si>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</si>
  <si>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</si>
  <si>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</si>
  <si>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</si>
  <si>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</si>
  <si>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</si>
  <si>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</si>
  <si>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</si>
  <si>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</si>
  <si>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</si>
  <si>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</si>
  <si>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</si>
  <si>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</si>
  <si>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</si>
  <si>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</si>
  <si>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</si>
  <si>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</si>
  <si>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</si>
  <si>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</si>
  <si>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</si>
  <si>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</si>
  <si>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</si>
  <si>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</si>
  <si>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</si>
  <si>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</si>
  <si>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</si>
  <si>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</si>
  <si>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</si>
  <si>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</si>
  <si>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</si>
  <si>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</si>
  <si>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</si>
  <si>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</si>
  <si>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</si>
  <si>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</si>
  <si>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</si>
  <si>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</si>
  <si>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</si>
  <si>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</si>
  <si>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</si>
  <si>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</si>
  <si>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</si>
  <si>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</si>
  <si>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</si>
  <si>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</si>
  <si>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</si>
  <si>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</si>
  <si>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</si>
  <si>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</si>
  <si>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</si>
  <si>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</si>
  <si>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</si>
  <si>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</si>
  <si>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</si>
  <si>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</si>
  <si>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</si>
  <si>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</si>
  <si>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</si>
  <si>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</si>
  <si>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</si>
  <si>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</si>
  <si>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</si>
  <si>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</si>
  <si>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</si>
  <si>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</si>
  <si>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</si>
  <si>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</si>
  <si>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</si>
  <si>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</si>
  <si>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</si>
  <si>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</si>
  <si>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</si>
  <si>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</si>
  <si>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</si>
  <si>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</si>
  <si>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</si>
  <si>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</si>
  <si>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</si>
  <si>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</si>
  <si>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</si>
  <si>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</si>
  <si>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</si>
  <si>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</si>
  <si>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</si>
  <si>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</si>
  <si>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</si>
  <si>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</si>
  <si>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</si>
  <si>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</si>
  <si>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</si>
  <si>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</si>
  <si>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</si>
  <si>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</si>
  <si>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</si>
  <si>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</si>
  <si>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</si>
  <si>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</si>
  <si>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</si>
  <si>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</si>
  <si>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</si>
  <si>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</si>
  <si>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</si>
  <si>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</si>
  <si>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</si>
  <si>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</si>
  <si>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</si>
  <si>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</si>
  <si>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</si>
  <si>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</si>
  <si>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</si>
  <si>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</si>
  <si>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</si>
  <si>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</si>
  <si>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</si>
  <si>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</si>
  <si>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</si>
  <si>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</si>
  <si>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</si>
  <si>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</si>
  <si>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</si>
  <si>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</si>
  <si>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</si>
  <si>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</si>
  <si>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</si>
  <si>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</si>
  <si>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</si>
  <si>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</si>
  <si>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</si>
  <si>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</si>
  <si>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</si>
  <si>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</si>
  <si>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</si>
  <si>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</si>
  <si>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</si>
  <si>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</si>
  <si>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</si>
  <si>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</si>
  <si>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</si>
  <si>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</si>
  <si>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</si>
  <si>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</si>
  <si>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</si>
  <si>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</si>
  <si>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</si>
  <si>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</si>
  <si>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</si>
  <si>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</si>
  <si>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</si>
  <si>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</si>
  <si>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</si>
  <si>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</si>
  <si>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</si>
  <si>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</si>
  <si>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</si>
  <si>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</si>
  <si>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</si>
  <si>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</si>
  <si>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</si>
  <si>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</si>
  <si>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</si>
  <si>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</si>
  <si>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</si>
  <si>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</si>
  <si>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</si>
  <si>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</si>
  <si>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</si>
  <si>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</si>
  <si>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</si>
  <si>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</si>
  <si>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</si>
  <si>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</si>
  <si>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</si>
  <si>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</si>
  <si>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</si>
  <si>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</si>
  <si>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</si>
  <si>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</si>
  <si>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</si>
  <si>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</si>
  <si>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</si>
  <si>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</si>
  <si>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</si>
  <si>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</si>
  <si>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</si>
  <si>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</si>
  <si>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</si>
  <si>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</si>
  <si>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</si>
  <si>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</si>
  <si>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</si>
  <si>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</si>
  <si>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</si>
  <si>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</si>
  <si>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</si>
  <si>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</si>
  <si>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</si>
  <si>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</si>
  <si>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</si>
  <si>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</si>
  <si>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</si>
  <si>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</si>
  <si>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</si>
  <si>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</si>
  <si>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</si>
  <si>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</si>
  <si>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</si>
  <si>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</si>
  <si>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</si>
  <si>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</si>
  <si>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</si>
  <si>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</si>
  <si>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</si>
  <si>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</si>
  <si>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</si>
  <si>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</si>
  <si>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</si>
  <si>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</si>
  <si>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</si>
  <si>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</si>
  <si>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</si>
  <si>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</si>
  <si>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</si>
  <si>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</si>
  <si>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</si>
  <si>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</si>
  <si>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</si>
  <si>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</si>
  <si>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</si>
  <si>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</si>
  <si>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</si>
  <si>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</si>
  <si>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</si>
  <si>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</si>
  <si>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</si>
  <si>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</si>
  <si>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</si>
  <si>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</si>
  <si>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</si>
  <si>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</si>
  <si>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</si>
  <si>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</si>
  <si>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</si>
  <si>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</si>
  <si>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</si>
  <si>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</si>
  <si>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</si>
  <si>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</si>
  <si>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</si>
  <si>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</si>
  <si>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</si>
  <si>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</si>
  <si>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</si>
  <si>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</si>
  <si>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</si>
  <si>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</si>
  <si>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</si>
  <si>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</si>
  <si>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</si>
  <si>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</si>
  <si>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</si>
  <si>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</si>
  <si>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</si>
  <si>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</si>
  <si>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</si>
  <si>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</si>
  <si>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</si>
  <si>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</si>
  <si>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</si>
  <si>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</si>
  <si>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</si>
  <si>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</si>
  <si>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</si>
  <si>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</si>
  <si>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</si>
  <si>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</si>
  <si>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</si>
  <si>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</si>
  <si>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</si>
  <si>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</si>
  <si>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</si>
  <si>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</si>
  <si>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</si>
  <si>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</si>
  <si>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</si>
  <si>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</si>
  <si>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</si>
  <si>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</si>
  <si>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</si>
  <si>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</si>
  <si>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</si>
  <si>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</si>
  <si>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</si>
  <si>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</si>
  <si>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</si>
  <si>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</si>
  <si>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</si>
  <si>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</si>
  <si>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</si>
  <si>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</si>
  <si>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</si>
  <si>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</si>
  <si>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</si>
  <si>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</si>
  <si>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</si>
  <si>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</si>
  <si>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</si>
  <si>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</si>
  <si>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</si>
  <si>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</si>
  <si>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</si>
  <si>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</si>
  <si>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</si>
  <si>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</si>
  <si>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</si>
  <si>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</si>
  <si>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</si>
  <si>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</si>
  <si>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</si>
  <si>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</si>
  <si>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</si>
  <si>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</si>
  <si>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</si>
  <si>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</si>
  <si>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</si>
  <si>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</si>
  <si>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</si>
  <si>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</si>
  <si>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</si>
  <si>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</si>
  <si>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</si>
  <si>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</si>
  <si>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</si>
  <si>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</si>
  <si>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</si>
  <si>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</si>
  <si>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</si>
  <si>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</si>
  <si>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</si>
  <si>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</si>
  <si>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</si>
  <si>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</si>
  <si>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</si>
  <si>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</si>
  <si>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</si>
  <si>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</si>
  <si>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</si>
  <si>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</si>
  <si>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</si>
  <si>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</si>
  <si>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</si>
  <si>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</si>
  <si>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</si>
  <si>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</si>
  <si>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</si>
  <si>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</si>
  <si>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</si>
  <si>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</si>
  <si>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</si>
  <si>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</si>
  <si>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</si>
  <si>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</si>
  <si>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</si>
  <si>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</si>
  <si>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</si>
  <si>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</si>
  <si>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</si>
  <si>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</si>
  <si>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</si>
  <si>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</si>
  <si>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</si>
  <si>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</si>
  <si>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</si>
  <si>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</si>
  <si>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</si>
  <si>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</si>
  <si>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</si>
  <si>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</si>
  <si>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</si>
  <si>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</si>
  <si>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</si>
  <si>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</si>
  <si>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</si>
  <si>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</si>
  <si>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</si>
  <si>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</si>
  <si>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</si>
  <si>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</si>
  <si>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</si>
  <si>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</si>
  <si>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</si>
  <si>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</si>
  <si>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</si>
  <si>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</si>
  <si>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</si>
  <si>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</si>
  <si>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</si>
  <si>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</si>
  <si>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</si>
  <si>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</si>
  <si>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</si>
  <si>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</si>
  <si>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</si>
  <si>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</si>
  <si>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</si>
  <si>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</si>
  <si>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</si>
  <si>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</si>
  <si>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</si>
  <si>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</si>
  <si>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</si>
  <si>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</si>
  <si>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</si>
  <si>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</si>
  <si>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</si>
  <si>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</si>
  <si>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</si>
  <si>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</si>
  <si>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</si>
  <si>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</si>
  <si>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</si>
  <si>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</si>
  <si>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</si>
  <si>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</si>
  <si>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</si>
  <si>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</si>
  <si>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</si>
  <si>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</si>
  <si>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</si>
  <si>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</si>
  <si>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</si>
  <si>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</si>
  <si>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</si>
  <si>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</si>
  <si>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</si>
  <si>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</si>
  <si>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</si>
  <si>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</si>
  <si>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</si>
  <si>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</si>
  <si>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</si>
  <si>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</si>
  <si>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</si>
  <si>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</si>
  <si>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</si>
  <si>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</si>
  <si>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</si>
  <si>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</si>
  <si>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</si>
  <si>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</si>
  <si>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</si>
  <si>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</si>
  <si>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</si>
  <si>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</si>
  <si>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</si>
  <si>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</si>
  <si>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</si>
  <si>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</si>
  <si>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</si>
  <si>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</si>
  <si>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</si>
  <si>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</si>
  <si>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</si>
  <si>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</si>
  <si>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</si>
  <si>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</si>
  <si>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</si>
  <si>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</si>
  <si>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</si>
  <si>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</si>
  <si>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</si>
  <si>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</si>
  <si>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</si>
  <si>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</si>
  <si>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</si>
  <si>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</si>
  <si>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</si>
  <si>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</si>
  <si>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</si>
  <si>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</si>
  <si>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</si>
  <si>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</si>
  <si>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</si>
  <si>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</si>
  <si>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</si>
  <si>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</si>
  <si>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</si>
  <si>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</si>
  <si>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</si>
  <si>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</si>
  <si>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</si>
  <si>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</si>
  <si>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</si>
  <si>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</si>
  <si>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</si>
  <si>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</si>
  <si>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</si>
  <si>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</si>
  <si>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</si>
  <si>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</si>
  <si>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</si>
  <si>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</si>
  <si>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</si>
  <si>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</si>
  <si>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</si>
  <si>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</si>
  <si>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</si>
  <si>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</si>
  <si>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</si>
  <si>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</si>
  <si>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</si>
  <si>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</si>
  <si>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</si>
  <si>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</si>
  <si>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</si>
  <si>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</si>
  <si>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</si>
  <si>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</si>
  <si>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</si>
  <si>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</si>
  <si>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</si>
  <si>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</si>
  <si>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</si>
  <si>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</si>
  <si>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</si>
  <si>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</si>
  <si>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</si>
  <si>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</si>
  <si>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</si>
  <si>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</si>
  <si>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</si>
  <si>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</si>
  <si>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</si>
  <si>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</si>
  <si>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</si>
  <si>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</si>
  <si>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</si>
  <si>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</si>
  <si>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</si>
  <si>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</si>
  <si>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</si>
  <si>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</si>
  <si>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</si>
  <si>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</si>
  <si>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</si>
  <si>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</si>
  <si>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</si>
  <si>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</si>
  <si>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</si>
  <si>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</si>
  <si>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</si>
  <si>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</si>
  <si>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</si>
  <si>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</si>
  <si>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</si>
  <si>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</si>
  <si>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</si>
  <si>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</si>
  <si>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</si>
  <si>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</si>
  <si>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</si>
  <si>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</si>
  <si>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</si>
  <si>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</si>
  <si>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</si>
  <si>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</si>
  <si>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</si>
  <si>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</si>
  <si>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</si>
  <si>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</si>
  <si>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</si>
  <si>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</si>
  <si>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</si>
  <si>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</si>
  <si>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</si>
  <si>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</si>
  <si>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</si>
  <si>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</si>
  <si>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</si>
  <si>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</si>
  <si>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</si>
  <si>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</si>
  <si>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</si>
  <si>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</si>
  <si>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</si>
  <si>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</si>
  <si>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</si>
  <si>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</si>
  <si>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</si>
  <si>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</si>
  <si>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</si>
  <si>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</si>
  <si>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</si>
  <si>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</si>
  <si>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</si>
  <si>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</si>
  <si>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</si>
  <si>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</si>
  <si>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</si>
  <si>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</si>
  <si>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</si>
  <si>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</si>
  <si>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</si>
  <si>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</si>
  <si>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</si>
  <si>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</si>
  <si>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</si>
  <si>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</si>
  <si>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</si>
  <si>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</si>
  <si>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</si>
  <si>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</si>
  <si>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</si>
  <si>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</si>
  <si>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</si>
  <si>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</si>
  <si>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</si>
  <si>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</si>
  <si>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</si>
  <si>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</si>
  <si>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</si>
  <si>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</si>
  <si>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</si>
  <si>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</si>
  <si>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</si>
  <si>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</si>
  <si>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</si>
  <si>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</si>
  <si>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</si>
  <si>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</si>
  <si>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</si>
  <si>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</si>
  <si>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</si>
  <si>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</si>
  <si>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</si>
  <si>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</si>
  <si>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</si>
  <si>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</si>
  <si>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</si>
  <si>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</si>
  <si>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</si>
  <si>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</si>
  <si>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</si>
  <si>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</si>
  <si>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</si>
  <si>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</si>
  <si>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</si>
  <si>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</si>
  <si>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</si>
  <si>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</si>
  <si>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</si>
  <si>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</si>
  <si>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</si>
  <si>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</si>
  <si>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</si>
  <si>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</si>
  <si>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</si>
  <si>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</si>
  <si>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</si>
  <si>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</si>
  <si>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</si>
  <si>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</si>
  <si>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</si>
  <si>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</si>
  <si>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</si>
  <si>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</si>
  <si>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</si>
  <si>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</si>
  <si>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</si>
  <si>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</si>
  <si>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</si>
  <si>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</si>
  <si>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</si>
  <si>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</si>
  <si>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</si>
  <si>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</si>
  <si>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</si>
  <si>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</si>
  <si>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</si>
  <si>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</si>
  <si>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</si>
  <si>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</si>
  <si>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</si>
  <si>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</si>
  <si>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</si>
  <si>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</si>
  <si>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</si>
  <si>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</si>
  <si>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</si>
  <si>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</si>
  <si>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</si>
  <si>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</si>
  <si>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</si>
  <si>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</si>
  <si>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</si>
  <si>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</si>
  <si>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</si>
  <si>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</si>
  <si>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</si>
  <si>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</si>
  <si>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</si>
  <si>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</si>
  <si>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</si>
  <si>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</si>
  <si>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</si>
  <si>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</si>
  <si>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</si>
  <si>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</si>
  <si>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</si>
  <si>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</si>
  <si>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</si>
  <si>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</si>
  <si>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</si>
  <si>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</si>
  <si>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</si>
  <si>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</si>
  <si>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</si>
  <si>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</si>
  <si>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</si>
  <si>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</si>
  <si>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</si>
  <si>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北京市</t>
  </si>
  <si>
    <t>企业</t>
  </si>
  <si>
    <t>出让</t>
  </si>
  <si>
    <t>地上</t>
  </si>
  <si>
    <t>地下</t>
  </si>
  <si>
    <t>是</t>
  </si>
  <si>
    <t>酒店</t>
  </si>
  <si>
    <t>酒店</t>
    <phoneticPr fontId="7" type="noConversion"/>
  </si>
  <si>
    <t>成新度</t>
  </si>
  <si>
    <t>Ⅵ-亦1</t>
  </si>
  <si>
    <t>通路</t>
  </si>
  <si>
    <t>通电</t>
  </si>
  <si>
    <t>通讯</t>
  </si>
  <si>
    <t>通上水</t>
  </si>
  <si>
    <t>通下水</t>
  </si>
  <si>
    <t>燃气</t>
  </si>
  <si>
    <t>住宿餐饮用地</t>
  </si>
  <si>
    <t>估价对象容积率</t>
  </si>
  <si>
    <t>平整</t>
  </si>
  <si>
    <t>与级别开发程度不一致</t>
  </si>
  <si>
    <t>容积率修正</t>
  </si>
  <si>
    <t>地价指数</t>
  </si>
  <si>
    <t>较好</t>
  </si>
  <si>
    <t>一般</t>
  </si>
  <si>
    <t>好</t>
  </si>
  <si>
    <t>不临58条商业街</t>
  </si>
  <si>
    <t>未包含在土地购买价格中</t>
  </si>
  <si>
    <t>全部缴纳</t>
  </si>
  <si>
    <t>已包含在土地取得成本中</t>
  </si>
  <si>
    <t>按房产原值计税</t>
  </si>
  <si>
    <t>自定义</t>
  </si>
  <si>
    <t>钢混</t>
  </si>
  <si>
    <t>非生产用房</t>
  </si>
  <si>
    <t>朝林酒店收入、成本、利润测算表（单位：万元）</t>
    <phoneticPr fontId="3" type="noConversion"/>
  </si>
  <si>
    <r>
      <t>项目</t>
    </r>
    <r>
      <rPr>
        <sz val="10.5"/>
        <rFont val="Times New Roman"/>
        <family val="1"/>
      </rPr>
      <t>\</t>
    </r>
    <r>
      <rPr>
        <sz val="10.5"/>
        <rFont val="宋体"/>
        <family val="3"/>
        <charset val="134"/>
      </rPr>
      <t>年份</t>
    </r>
  </si>
  <si>
    <t xml:space="preserve"> 合计</t>
    <phoneticPr fontId="3" type="noConversion"/>
  </si>
  <si>
    <t>客房收入</t>
    <phoneticPr fontId="3" type="noConversion"/>
  </si>
  <si>
    <t>客房收入合计</t>
    <phoneticPr fontId="3" type="noConversion"/>
  </si>
  <si>
    <t>自助餐厅收入</t>
    <phoneticPr fontId="3" type="noConversion"/>
  </si>
  <si>
    <t>中餐厅收入</t>
    <phoneticPr fontId="3" type="noConversion"/>
  </si>
  <si>
    <t>宴会收入</t>
    <phoneticPr fontId="3" type="noConversion"/>
  </si>
  <si>
    <t>餐饮收入小计</t>
    <phoneticPr fontId="3" type="noConversion"/>
  </si>
  <si>
    <t>会议及其他收入</t>
    <phoneticPr fontId="3" type="noConversion"/>
  </si>
  <si>
    <t>收入合计</t>
    <phoneticPr fontId="3" type="noConversion"/>
  </si>
  <si>
    <t>营业成本</t>
  </si>
  <si>
    <t>销售费用</t>
  </si>
  <si>
    <t>税金及附加</t>
    <phoneticPr fontId="3" type="noConversion"/>
  </si>
  <si>
    <t>人员支出</t>
  </si>
  <si>
    <t>利息支出</t>
  </si>
  <si>
    <t>房产税</t>
  </si>
  <si>
    <t>其他费用</t>
  </si>
  <si>
    <t>开办费摊销</t>
  </si>
  <si>
    <t>折旧</t>
  </si>
  <si>
    <t>支出合计</t>
    <phoneticPr fontId="3" type="noConversion"/>
  </si>
  <si>
    <t>利润总额</t>
    <phoneticPr fontId="3" type="noConversion"/>
  </si>
  <si>
    <t>所得税</t>
  </si>
  <si>
    <t>税后利润</t>
  </si>
  <si>
    <t>净利润及折旧合计</t>
  </si>
  <si>
    <t>2、餐饮收入包括自助餐厅、中餐厅及宴会收入，按照每年递增5%计算。</t>
    <phoneticPr fontId="3" type="noConversion"/>
  </si>
  <si>
    <t>自助餐厅按照午餐和晚餐就餐人数每日合计120人计算，每人次400元；宴会按照每年70场，</t>
    <phoneticPr fontId="3" type="noConversion"/>
  </si>
  <si>
    <t>每场平均20万元计算；中餐厅按照每天12000元收入计算。</t>
    <phoneticPr fontId="3" type="noConversion"/>
  </si>
  <si>
    <t>3、会议及其他收入包括会议、康体中心、SPA、酒吧、咖啡厅等。</t>
    <phoneticPr fontId="3" type="noConversion"/>
  </si>
  <si>
    <t>收益法</t>
  </si>
  <si>
    <t>成本法</t>
  </si>
  <si>
    <t>现房</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</si>
  <si>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</si>
  <si>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</si>
  <si>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</si>
  <si>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</si>
  <si>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</si>
  <si>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</si>
  <si>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</si>
  <si>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</si>
  <si>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</si>
  <si>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</si>
  <si>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</si>
  <si>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</si>
  <si>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</si>
  <si>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北京经济技术开发区南海子郊野公园B片区B-04/*B-06/B-11地块F3其他类多功能用地</t>
  </si>
  <si>
    <t>商业/办公用地</t>
  </si>
  <si>
    <t>b-04、b-06≤1.5,b-11≤2</t>
  </si>
  <si>
    <t>挂牌</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</si>
  <si>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</si>
  <si>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</si>
  <si>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</si>
  <si>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</si>
  <si>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</si>
  <si>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</si>
  <si>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</si>
  <si>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</si>
  <si>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</si>
  <si>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</si>
  <si>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</si>
  <si>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</si>
  <si>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</si>
  <si>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</si>
  <si>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</si>
  <si>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</si>
  <si>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</si>
  <si>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</si>
  <si>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</si>
  <si>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</si>
  <si>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</si>
  <si>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</si>
  <si>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</si>
  <si>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</si>
  <si>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</si>
  <si>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</si>
  <si>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</si>
  <si>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</si>
  <si>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</si>
  <si>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</si>
  <si>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</si>
  <si>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</si>
  <si>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</si>
  <si>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</si>
  <si>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</si>
  <si>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</si>
  <si>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</si>
  <si>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</si>
  <si>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</si>
  <si>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</si>
  <si>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</si>
  <si>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</si>
  <si>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</si>
  <si>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</si>
  <si>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</si>
  <si>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</si>
  <si>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</si>
  <si>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</si>
  <si>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</si>
  <si>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</si>
  <si>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</si>
  <si>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</si>
  <si>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</si>
  <si>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</si>
  <si>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</si>
  <si>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</si>
  <si>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</si>
  <si>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</si>
  <si>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</si>
  <si>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</si>
  <si>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</si>
  <si>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</si>
  <si>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</si>
  <si>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</si>
  <si>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</si>
  <si>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</si>
  <si>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</si>
  <si>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</si>
  <si>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</si>
  <si>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</si>
  <si>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</si>
  <si>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</si>
  <si>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</si>
  <si>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</si>
  <si>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</si>
  <si>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</si>
  <si>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</si>
  <si>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</si>
  <si>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</si>
  <si>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</si>
  <si>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正常</t>
    <phoneticPr fontId="31" type="noConversion"/>
  </si>
  <si>
    <t>楼面地价</t>
  </si>
  <si>
    <t>北京朝林置业有限公司</t>
    <phoneticPr fontId="6" type="noConversion"/>
  </si>
  <si>
    <r>
      <rPr>
        <sz val="12"/>
        <color theme="9" tint="-0.249977111117893"/>
        <rFont val="宋体"/>
        <family val="3"/>
        <charset val="134"/>
      </rPr>
      <t>北京经济技术开发区荣华中路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至</t>
    </r>
    <r>
      <rPr>
        <sz val="12"/>
        <color theme="9" tint="-0.249977111117893"/>
        <rFont val="Arial"/>
        <family val="2"/>
      </rPr>
      <t>10</t>
    </r>
    <r>
      <rPr>
        <sz val="12"/>
        <color theme="9" tint="-0.249977111117893"/>
        <rFont val="宋体"/>
        <family val="3"/>
        <charset val="134"/>
      </rPr>
      <t>层</t>
    </r>
    <r>
      <rPr>
        <sz val="12"/>
        <color theme="9" tint="-0.249977111117893"/>
        <rFont val="Arial"/>
        <family val="2"/>
      </rPr>
      <t>101</t>
    </r>
    <phoneticPr fontId="6" type="noConversion"/>
  </si>
  <si>
    <t>酒店（商业）</t>
    <phoneticPr fontId="6" type="noConversion"/>
  </si>
  <si>
    <r>
      <rPr>
        <sz val="12"/>
        <color theme="9" tint="-0.249977111117893"/>
        <rFont val="宋体"/>
        <family val="3"/>
        <charset val="134"/>
      </rPr>
      <t>酒店（商业）</t>
    </r>
    <r>
      <rPr>
        <sz val="12"/>
        <color theme="9" tint="-0.249977111117893"/>
        <rFont val="Arial"/>
        <family val="2"/>
      </rPr>
      <t>24.7</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</si>
  <si>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）开发区不动产权第</t>
    </r>
    <r>
      <rPr>
        <sz val="12"/>
        <color theme="9" tint="-0.249977111117893"/>
        <rFont val="Arial"/>
        <family val="2"/>
      </rPr>
      <t>0013246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及《北京朝林置业项目</t>
    </r>
    <r>
      <rPr>
        <sz val="12"/>
        <color theme="9" tint="-0.249977111117893"/>
        <rFont val="Arial"/>
        <family val="2"/>
      </rPr>
      <t>A</t>
    </r>
    <r>
      <rPr>
        <sz val="12"/>
        <color theme="9" tint="-0.249977111117893"/>
        <rFont val="宋体"/>
        <family val="3"/>
        <charset val="134"/>
      </rPr>
      <t>、</t>
    </r>
    <r>
      <rPr>
        <sz val="12"/>
        <color theme="9" tint="-0.249977111117893"/>
        <rFont val="Arial"/>
        <family val="2"/>
      </rPr>
      <t>B</t>
    </r>
    <r>
      <rPr>
        <sz val="12"/>
        <color theme="9" tint="-0.249977111117893"/>
        <rFont val="宋体"/>
        <family val="3"/>
        <charset val="134"/>
      </rPr>
      <t>、</t>
    </r>
    <r>
      <rPr>
        <sz val="12"/>
        <color theme="9" tint="-0.249977111117893"/>
        <rFont val="Arial"/>
        <family val="2"/>
      </rPr>
      <t>C</t>
    </r>
    <r>
      <rPr>
        <sz val="12"/>
        <color theme="9" tint="-0.249977111117893"/>
        <rFont val="宋体"/>
        <family val="3"/>
        <charset val="134"/>
      </rPr>
      <t>座机锅炉房土地使用权面积分摊说明表》</t>
    </r>
    <phoneticPr fontId="6" type="noConversion"/>
  </si>
  <si>
    <t>《不动产权证书》[京（2016）开发区不动产权第0013246号]及《房屋面积测算技术报告书》[朝林国际酒店C座]</t>
    <phoneticPr fontId="6" type="noConversion"/>
  </si>
  <si>
    <t>否</t>
  </si>
  <si>
    <t>备注：1、客房间数363间，其中标间311间，套房52套。出租价格按照标间价格平均1300元/日计算，2019年客房出租率50%，2020年客房出租率达到70%，2021年达到80%，2022年-2025年以后每年增长2%，2025年后不再增长。</t>
    <phoneticPr fontId="3" type="noConversion"/>
  </si>
  <si>
    <t>2019-1-0382-P01DYGJ2</t>
    <phoneticPr fontId="6" type="noConversion"/>
  </si>
  <si>
    <t>中国农业银行股份有限公司北京经济技术开发区支行</t>
    <phoneticPr fontId="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</si>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</sst>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sz val="10.5"/>
      <name val="宋体"/>
      <family val="3"/>
      <charset val="134"/>
    </font>
    <font>
      <sz val="10.5"/>
      <name val="Times New Roman"/>
      <family val="1"/>
    </font>
    <font>
      <b/>
      <sz val="10.5"/>
      <name val="宋体"/>
      <family val="3"/>
      <charset val="134"/>
    </font>
    <font>
      <b/>
      <sz val="10.5"/>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1" xfId="0" applyFont="1" applyBorder="1" applyAlignment="1">
      <alignment horizontal="justify" vertical="top" wrapText="1"/>
    </xf>
    <xf numFmtId="0" fontId="256" fillId="0" borderId="1" xfId="0" applyFont="1" applyBorder="1" applyAlignment="1">
      <alignment horizontal="justify" vertical="top" wrapText="1"/>
    </xf>
    <xf numFmtId="0" fontId="144" fillId="0" borderId="1" xfId="0" applyFont="1" applyBorder="1">
      <alignment vertical="center"/>
    </xf>
    <xf numFmtId="177" fontId="256" fillId="0" borderId="1" xfId="0" applyNumberFormat="1" applyFont="1" applyBorder="1" applyAlignment="1">
      <alignment horizontal="justify" vertical="top" wrapText="1"/>
    </xf>
    <xf numFmtId="186" fontId="256" fillId="0" borderId="1" xfId="0" applyNumberFormat="1" applyFont="1" applyBorder="1" applyAlignment="1">
      <alignment horizontal="justify" vertical="top" wrapText="1"/>
    </xf>
    <xf numFmtId="0" fontId="257" fillId="0" borderId="1" xfId="0" applyFont="1" applyBorder="1" applyAlignment="1">
      <alignment horizontal="justify" vertical="top" wrapText="1"/>
    </xf>
    <xf numFmtId="177" fontId="258" fillId="0" borderId="1" xfId="0" applyNumberFormat="1" applyFont="1" applyBorder="1" applyAlignment="1">
      <alignment horizontal="justify" vertical="top" wrapText="1"/>
    </xf>
    <xf numFmtId="186" fontId="258" fillId="0" borderId="1" xfId="0" applyNumberFormat="1" applyFont="1" applyBorder="1" applyAlignment="1">
      <alignment horizontal="justify" vertical="top" wrapText="1"/>
    </xf>
    <xf numFmtId="177" fontId="256" fillId="0" borderId="58" xfId="0" applyNumberFormat="1" applyFont="1" applyFill="1" applyBorder="1" applyAlignment="1">
      <alignment horizontal="justify" vertical="top" wrapText="1"/>
    </xf>
    <xf numFmtId="0" fontId="0" fillId="0" borderId="1" xfId="0" applyBorder="1">
      <alignment vertical="center"/>
    </xf>
    <xf numFmtId="0" fontId="98" fillId="0" borderId="0" xfId="0" applyFont="1" applyBorder="1">
      <alignment vertical="center"/>
    </xf>
    <xf numFmtId="0" fontId="202" fillId="0" borderId="0" xfId="0" applyFont="1" applyBorder="1">
      <alignment vertical="center"/>
    </xf>
    <xf numFmtId="0" fontId="144" fillId="0" borderId="0" xfId="0" applyFont="1" applyBorder="1">
      <alignment vertical="center"/>
    </xf>
    <xf numFmtId="0" fontId="0" fillId="0" borderId="0" xfId="0" applyBorder="1">
      <alignment vertical="center"/>
    </xf>
    <xf numFmtId="177" fontId="98" fillId="0" borderId="0" xfId="0" applyNumberFormat="1" applyFont="1" applyBorder="1">
      <alignment vertical="center"/>
    </xf>
    <xf numFmtId="177" fontId="0" fillId="0" borderId="0" xfId="0" applyNumberFormat="1" applyBorder="1">
      <alignment vertical="center"/>
    </xf>
    <xf numFmtId="177" fontId="0" fillId="0" borderId="0" xfId="0" applyNumberFormat="1">
      <alignment vertical="center"/>
    </xf>
    <xf numFmtId="0" fontId="37" fillId="0" borderId="0" xfId="0" applyFont="1">
      <alignment vertical="center"/>
    </xf>
    <xf numFmtId="0" fontId="56" fillId="0" borderId="0" xfId="17"/>
    <xf numFmtId="0" fontId="56" fillId="5" borderId="0" xfId="17" applyFill="1"/>
    <xf numFmtId="0" fontId="0" fillId="5" borderId="0" xfId="0" applyFill="1">
      <alignment vertical="center"/>
    </xf>
    <xf numFmtId="49" fontId="137" fillId="2" borderId="26" xfId="0" applyNumberFormat="1" applyFont="1" applyFill="1" applyBorder="1" applyAlignment="1" applyProtection="1">
      <alignment horizontal="center" vertical="center" wrapText="1"/>
      <protection locked="0"/>
    </xf>
    <xf numFmtId="187" fontId="0" fillId="0" borderId="0" xfId="0" applyNumberForma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69" xfId="0" applyFont="1" applyBorder="1" applyAlignment="1">
      <alignment horizontal="center" vertical="top" wrapText="1"/>
    </xf>
    <xf numFmtId="0" fontId="254" fillId="0" borderId="60" xfId="0" applyFont="1" applyBorder="1" applyAlignment="1">
      <alignment horizontal="center" vertical="top" wrapText="1"/>
    </xf>
    <xf numFmtId="0" fontId="255" fillId="0" borderId="0" xfId="0" applyFont="1" applyFill="1" applyBorder="1" applyAlignment="1">
      <alignment horizontal="left" vertical="top" wrapText="1"/>
    </xf>
    <xf numFmtId="0" fontId="98" fillId="0" borderId="0" xfId="0" applyFont="1" applyBorder="1" applyAlignment="1">
      <alignment horizontal="left" vertical="center"/>
    </xf>
    <xf numFmtId="176" fontId="50" fillId="17" borderId="1" xfId="0" applyNumberFormat="1" applyFont="1" applyFill="1" applyBorder="1" applyAlignment="1" applyProtection="1">
      <alignment vertical="center" wrapText="1"/>
      <protection locked="0"/>
    </xf>
    <xf numFmtId="0" fontId="56" fillId="17" borderId="24" xfId="1" applyNumberFormat="1" applyFont="1" applyFill="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6" fillId="17" borderId="61" xfId="1"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56" fillId="17" borderId="1" xfId="0" applyFont="1" applyFill="1" applyBorder="1" applyAlignment="1" applyProtection="1">
      <alignment horizontal="left" vertical="center"/>
      <protection locked="0"/>
    </xf>
    <xf numFmtId="0" fontId="56" fillId="17" borderId="1" xfId="0" applyFont="1" applyFill="1" applyBorder="1" applyAlignment="1" applyProtection="1">
      <alignment vertical="center" wrapText="1"/>
      <protection locked="0"/>
    </xf>
    <xf numFmtId="0" fontId="56" fillId="17" borderId="32" xfId="0" applyFont="1" applyFill="1" applyBorder="1" applyAlignment="1" applyProtection="1">
      <alignment vertical="center" wrapText="1"/>
      <protection locked="0"/>
    </xf>
    <xf numFmtId="9" fontId="19" fillId="17" borderId="1" xfId="0" applyNumberFormat="1" applyFont="1" applyFill="1" applyBorder="1" applyAlignment="1"/>
    <xf numFmtId="0" fontId="144" fillId="17" borderId="1" xfId="0" applyFont="1" applyFill="1" applyBorder="1" applyAlignment="1">
      <alignment horizontal="center" vertical="center"/>
    </xf>
    <xf numFmtId="0" fontId="144" fillId="17" borderId="24" xfId="0" applyFont="1" applyFill="1" applyBorder="1" applyAlignment="1">
      <alignment horizontal="center" vertical="center"/>
    </xf>
    <xf numFmtId="181" fontId="105" fillId="0" borderId="17" xfId="0" applyNumberFormat="1"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北京市北京经济技术开发区荣华中路19号院2号楼-2至10层101房地产抵押价值预评估</v>
      </c>
    </row>
    <row r="3" spans="1:2" s="1590" customFormat="1">
      <c r="A3" s="1588" t="s">
        <v>1217</v>
      </c>
      <c r="B3" s="1589" t="str">
        <f>'预评函-封皮'!B40</f>
        <v>中国农业银行股份有限公司北京经济技术开发区支行</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康正预评字2019-1-0382-P01DYGJ2号</v>
      </c>
    </row>
    <row r="6" spans="1:2" s="1587" customFormat="1" ht="15" thickTop="1">
      <c r="A6" s="1585" t="s">
        <v>1220</v>
      </c>
      <c r="B6" s="1586" t="str">
        <f>'预评函-1'!A4</f>
        <v>受贵公司委托，我公司对北京市北京经济技术开发区荣华中路19号院2号楼-2至10层101房地产抵押价值进行了预评估。</v>
      </c>
    </row>
    <row r="7" spans="1:2" s="1590" customFormat="1">
      <c r="A7" s="1588" t="s">
        <v>1260</v>
      </c>
      <c r="B7" s="1589" t="str">
        <f>'预评函-1'!A7</f>
        <v>估价对象为北京市北京经济技术开发区荣华中路19号院2号楼-2至10层101房地产，为北京朝林置业有限公司所有。根据《不动产权证书》[京（2016）开发区不动产权第0013246号]及《北京朝林置业项目A、B、C座机锅炉房土地使用权面积分摊说明表》，估价对象（分摊）出让国有建设用地使用权面积为8969.46平方米，建筑面积为48967.92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北京经济技术开发区荣华中路19号院2号楼-2至10层101房地产,属北京朝林置业有限公司开发建设的，该项目尚在开发建设中。根据《不动产权证书》[京（2016）开发区不动产权第0013246号]及《北京朝林置业项目A、B、C座机锅炉房土地使用权面积分摊说明表》，估价对象（分摊）出让国有建设用地使用权面积为8969.46平方米，规划建筑面积为48967.92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2019年5月30日（评估专业人员实地查勘之日）</v>
      </c>
    </row>
    <row r="13" spans="1:2" s="1590" customFormat="1">
      <c r="A13" s="1588" t="s">
        <v>1223</v>
      </c>
      <c r="B13" s="1589" t="str">
        <f>'预评函-1'!A18</f>
        <v>本次估价的“房地产价值”是指在正常市场情况下，在价值时点2019年5月30日，估价对象规划用途为酒店（商业），土地取得方式为出让，出让国有建设用地使用权剩余土地使用年限为酒店（商业）24.7年，假定未设立法定优先受偿款下的房地产市场价值。</v>
      </c>
    </row>
    <row r="14" spans="1:2" s="1590" customFormat="1">
      <c r="A14" s="1588" t="s">
        <v>1224</v>
      </c>
      <c r="B14" s="1589" t="str">
        <f>'预评函-1'!A19</f>
        <v>其中，“出让国有建设用地使用权价值”是指估价对象用途为酒店（商业），实际开发程度为宗地红线外“七通”（即通路、通电、通讯、通上水、通下水、燃气、）、红线内场地平整条件下，剩余土地使用年限为酒店（商业）24.7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126103</v>
      </c>
    </row>
    <row r="21" spans="1:2" s="1590" customFormat="1">
      <c r="A21" s="1588" t="s">
        <v>1231</v>
      </c>
      <c r="B21" s="1589">
        <f ca="1">'预评函-2'!D7</f>
        <v>25752</v>
      </c>
    </row>
    <row r="22" spans="1:2" s="1590" customFormat="1">
      <c r="A22" s="1588" t="s">
        <v>1232</v>
      </c>
      <c r="B22" s="1589" t="str">
        <f ca="1">'预评函-2'!D6</f>
        <v>壹拾贰亿陆仟壹佰零叁万元整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126103</v>
      </c>
    </row>
    <row r="31" spans="1:2" s="1590" customFormat="1">
      <c r="A31" s="1588" t="s">
        <v>1270</v>
      </c>
      <c r="B31" s="1589">
        <f ca="1">'预评函-2'!D15</f>
        <v>25752</v>
      </c>
    </row>
    <row r="32" spans="1:2" s="1590" customFormat="1">
      <c r="A32" s="1588" t="s">
        <v>1237</v>
      </c>
      <c r="B32" s="1589" t="str">
        <f ca="1">'预评函-2'!D14</f>
        <v>壹拾贰亿陆仟壹佰零叁万元整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北京市北京经济技术开发区荣华中路19号院2号楼-2至10层101房地产</v>
      </c>
    </row>
    <row r="42" spans="1:2" s="1590" customFormat="1">
      <c r="A42" s="1588" t="s">
        <v>1284</v>
      </c>
      <c r="B42" s="1589" t="str">
        <f>'预评函-3'!B2</f>
        <v>建筑面积</v>
      </c>
    </row>
    <row r="43" spans="1:2" s="1590" customFormat="1">
      <c r="A43" s="1588" t="s">
        <v>1285</v>
      </c>
      <c r="B43" s="1589">
        <f>'预评函-3'!B4</f>
        <v>48967.92</v>
      </c>
    </row>
    <row r="44" spans="1:2" s="1590" customFormat="1">
      <c r="A44" s="1588" t="s">
        <v>1269</v>
      </c>
      <c r="B44" s="1589" t="str">
        <f>'预评函-3'!C2</f>
        <v>(分摊)土地面积</v>
      </c>
    </row>
    <row r="45" spans="1:2" s="1590" customFormat="1">
      <c r="A45" s="1588" t="s">
        <v>1241</v>
      </c>
      <c r="B45" s="1589">
        <f>'预评函-3'!C4</f>
        <v>8969.4599999999991</v>
      </c>
    </row>
    <row r="46" spans="1:2" s="1590" customFormat="1">
      <c r="A46" s="1588" t="s">
        <v>1267</v>
      </c>
      <c r="B46" s="1589" t="str">
        <f>'预评函-3'!D2</f>
        <v>出让国有建设用地使用权价值</v>
      </c>
    </row>
    <row r="47" spans="1:2" s="1590" customFormat="1">
      <c r="A47" s="1588" t="s">
        <v>1242</v>
      </c>
      <c r="B47" s="1589">
        <f ca="1">'预评函-3'!D4</f>
        <v>67213</v>
      </c>
    </row>
    <row r="48" spans="1:2" s="1590" customFormat="1">
      <c r="A48" s="1588" t="s">
        <v>1243</v>
      </c>
      <c r="B48" s="1589">
        <f ca="1">'预评函-3'!E4</f>
        <v>13726</v>
      </c>
    </row>
    <row r="49" spans="1:2" s="1590" customFormat="1">
      <c r="A49" s="1588" t="s">
        <v>1244</v>
      </c>
      <c r="B49" s="1589" t="str">
        <f ca="1">'预评函-3'!D5</f>
        <v>陆亿柒仟贰佰壹拾叁万元整</v>
      </c>
    </row>
    <row r="50" spans="1:2" s="1590" customFormat="1">
      <c r="A50" s="1588" t="s">
        <v>1268</v>
      </c>
      <c r="B50" s="1589" t="str">
        <f>'预评函-3'!F2</f>
        <v>在建建筑物价值</v>
      </c>
    </row>
    <row r="51" spans="1:2" s="1590" customFormat="1">
      <c r="A51" s="1588" t="s">
        <v>1245</v>
      </c>
      <c r="B51" s="1589">
        <f ca="1">'预评函-3'!F4</f>
        <v>58890</v>
      </c>
    </row>
    <row r="52" spans="1:2" s="1590" customFormat="1">
      <c r="A52" s="1588" t="s">
        <v>1246</v>
      </c>
      <c r="B52" s="1589">
        <f ca="1">'预评函-3'!G4</f>
        <v>12026</v>
      </c>
    </row>
    <row r="53" spans="1:2" s="1590" customFormat="1">
      <c r="A53" s="1588" t="s">
        <v>1274</v>
      </c>
      <c r="B53" s="1589" t="str">
        <f ca="1">'预评函-3'!F5</f>
        <v>伍亿捌仟捌佰玖拾万元整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7" workbookViewId="0">
      <selection activeCell="C51" sqref="C51"/>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为估价委托人在向中国农业银行股份有限公司北京经济技术开发区支行办理贷款手续过程中，确定房地产抵押贷款额度提供参考依据而评估房地产抵押价值。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酒店（商业）土地取得方式为出让，出让国有建设用地使用权剩余土地使用年限为XX年(多用途剩余年限尾数不同时，可只体现小数点后一位)，假定未设立法定优先受偿款下的房地产市场价值。</v>
      </c>
    </row>
    <row r="54" spans="1:4">
      <c r="A54" s="3017"/>
      <c r="B54" s="2019" t="s">
        <v>861</v>
      </c>
      <c r="C54" s="2016" t="s">
        <v>1277</v>
      </c>
    </row>
    <row r="55" spans="1:4">
      <c r="A55" s="3017"/>
      <c r="B55" s="2019" t="s">
        <v>862</v>
      </c>
      <c r="C55" s="2016" t="s">
        <v>1278</v>
      </c>
    </row>
    <row r="56" spans="1:4">
      <c r="A56" s="3017"/>
      <c r="B56" s="2019" t="s">
        <v>863</v>
      </c>
      <c r="C56" s="2016" t="s">
        <v>1282</v>
      </c>
    </row>
    <row r="57" spans="1:4">
      <c r="A57" s="301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4" sqref="F2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1772</v>
      </c>
      <c r="B1" s="3026" t="str">
        <f>IF(B10="北京市","北京市",C10)&amp;F10&amp;IF(结果表!G1="在建","出让国有建设用地使用权及在建建筑物",IF(结果表!G1="土地","出让国有建设用地使用权",))&amp;B9&amp;"预评估"</f>
        <v>北京市北京经济技术开发区荣华中路19号院2号楼-2至10层101房地产抵押价值预评估</v>
      </c>
      <c r="C1" s="3027"/>
      <c r="D1" s="3027"/>
      <c r="E1" s="3027"/>
      <c r="F1" s="3027"/>
      <c r="G1" s="3027"/>
      <c r="H1" s="3027"/>
      <c r="I1" s="302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北京市北京经济技术开发区荣华中路19号院2号楼-2至10层101房地产抵押价值</v>
      </c>
    </row>
    <row r="2" spans="1:19" ht="18" customHeight="1">
      <c r="A2" s="2023" t="s">
        <v>1773</v>
      </c>
      <c r="B2" s="1036" t="s">
        <v>3226</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北京市北京经济技术开发区荣华中路19号院2号楼-2至10层101房地产</v>
      </c>
    </row>
    <row r="3" spans="1:19" ht="18" customHeight="1">
      <c r="A3" s="2032" t="s">
        <v>1774</v>
      </c>
      <c r="B3" s="2033">
        <v>43615</v>
      </c>
      <c r="C3" s="2034" t="s">
        <v>1775</v>
      </c>
      <c r="D3" s="2033">
        <v>43615</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1120050019</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70" t="s">
        <v>3227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71" t="s">
        <v>3227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72" t="s">
        <v>3218</v>
      </c>
      <c r="C7" s="2045"/>
      <c r="D7" s="2046"/>
      <c r="E7" s="2031"/>
      <c r="F7" s="2039"/>
      <c r="G7" s="2039"/>
      <c r="H7" s="2039"/>
      <c r="I7" s="2039"/>
      <c r="J7" s="2039"/>
      <c r="K7" s="2048"/>
      <c r="L7" s="2025"/>
      <c r="M7" s="2025"/>
      <c r="N7" s="2026"/>
      <c r="O7" s="2027"/>
      <c r="P7" s="2026"/>
      <c r="Q7" s="2026"/>
      <c r="R7" s="2026"/>
    </row>
    <row r="8" spans="1:19" ht="18" customHeight="1">
      <c r="A8" s="2044" t="s">
        <v>1780</v>
      </c>
      <c r="B8" s="2049" t="s">
        <v>3052</v>
      </c>
      <c r="C8" s="2050"/>
      <c r="D8" s="3029" t="s">
        <v>1781</v>
      </c>
      <c r="E8" s="2051" t="s">
        <v>3053</v>
      </c>
      <c r="F8" s="2052"/>
      <c r="G8" s="2023"/>
      <c r="H8" s="2023"/>
      <c r="I8" s="2023"/>
      <c r="J8" s="2039"/>
      <c r="K8" s="2040"/>
      <c r="L8" s="2025"/>
      <c r="M8" s="2025"/>
      <c r="N8" s="2026"/>
      <c r="O8" s="2027"/>
      <c r="P8" s="2026"/>
      <c r="Q8" s="2026"/>
      <c r="R8" s="2026"/>
    </row>
    <row r="9" spans="1:19" ht="18" customHeight="1" thickBot="1">
      <c r="A9" s="2037" t="s">
        <v>1782</v>
      </c>
      <c r="B9" s="2053" t="s">
        <v>3053</v>
      </c>
      <c r="C9" s="2054"/>
      <c r="D9" s="3030"/>
      <c r="E9" s="2053"/>
      <c r="F9" s="2055"/>
      <c r="G9" s="2056"/>
      <c r="H9" s="2056"/>
      <c r="I9" s="2056"/>
      <c r="J9" s="2039"/>
      <c r="K9" s="2048"/>
      <c r="L9" s="2025"/>
      <c r="M9" s="2025"/>
      <c r="N9" s="2026"/>
      <c r="O9" s="2027"/>
      <c r="P9" s="2026"/>
      <c r="Q9" s="2026"/>
      <c r="R9" s="2026"/>
    </row>
    <row r="10" spans="1:19" ht="18" customHeight="1" thickTop="1">
      <c r="A10" s="2057" t="s">
        <v>1783</v>
      </c>
      <c r="B10" s="2058" t="s">
        <v>3054</v>
      </c>
      <c r="C10" s="2059"/>
      <c r="D10" s="2043"/>
      <c r="E10" s="2060" t="s">
        <v>1784</v>
      </c>
      <c r="F10" s="2061" t="s">
        <v>3219</v>
      </c>
      <c r="G10" s="2062"/>
      <c r="H10" s="2063"/>
      <c r="I10" s="2043"/>
      <c r="J10" s="2039"/>
      <c r="K10" s="2048"/>
      <c r="L10" s="2025"/>
      <c r="M10" s="2025"/>
      <c r="N10" s="2026"/>
      <c r="O10" s="2027"/>
      <c r="P10" s="2026"/>
      <c r="Q10" s="2026"/>
      <c r="R10" s="2026"/>
    </row>
    <row r="11" spans="1:19" ht="18" customHeight="1">
      <c r="A11" s="2064" t="s">
        <v>1785</v>
      </c>
      <c r="B11" s="2065" t="s">
        <v>3055</v>
      </c>
      <c r="C11" s="2973" t="s">
        <v>3218</v>
      </c>
      <c r="D11" s="2066"/>
      <c r="E11" s="2039"/>
      <c r="F11" s="2039"/>
      <c r="G11" s="2039"/>
      <c r="H11" s="2039"/>
      <c r="I11" s="2039"/>
      <c r="J11" s="2039"/>
      <c r="K11" s="2048"/>
      <c r="L11" s="2025"/>
      <c r="M11" s="2025"/>
      <c r="N11" s="2026"/>
      <c r="O11" s="2027"/>
      <c r="P11" s="2026"/>
      <c r="Q11" s="2026"/>
      <c r="R11" s="2026"/>
    </row>
    <row r="12" spans="1:19" ht="18" customHeight="1">
      <c r="A12" s="2067" t="s">
        <v>1786</v>
      </c>
      <c r="B12" s="2065" t="s">
        <v>3056</v>
      </c>
      <c r="C12" s="2068" t="s">
        <v>1787</v>
      </c>
      <c r="D12" s="2069" t="s">
        <v>1788</v>
      </c>
      <c r="E12" s="2069" t="s">
        <v>1789</v>
      </c>
      <c r="F12" s="2069" t="s">
        <v>1790</v>
      </c>
      <c r="G12" s="2069" t="s">
        <v>1791</v>
      </c>
      <c r="H12" s="2069" t="s">
        <v>1792</v>
      </c>
      <c r="I12" s="2069" t="s">
        <v>1793</v>
      </c>
      <c r="J12" s="2039"/>
      <c r="K12" s="2048"/>
      <c r="L12" s="2025"/>
      <c r="M12" s="2025"/>
      <c r="N12" s="2026"/>
      <c r="O12" s="2027"/>
      <c r="P12" s="2026"/>
      <c r="Q12" s="2026"/>
      <c r="R12" s="2026"/>
    </row>
    <row r="13" spans="1:19" ht="18" customHeight="1">
      <c r="A13" s="2070"/>
      <c r="B13" s="2071"/>
      <c r="C13" s="2072" t="s">
        <v>1794</v>
      </c>
      <c r="D13" s="2073"/>
      <c r="E13" s="2073">
        <v>52665</v>
      </c>
      <c r="F13" s="2073">
        <v>56317</v>
      </c>
      <c r="G13" s="2073"/>
      <c r="H13" s="2073"/>
      <c r="I13" s="1044"/>
      <c r="J13" s="2039"/>
      <c r="K13" s="2048"/>
      <c r="L13" s="2025"/>
      <c r="M13" s="2025"/>
      <c r="N13" s="2026"/>
      <c r="O13" s="2027"/>
      <c r="P13" s="2026"/>
      <c r="Q13" s="2026"/>
      <c r="R13" s="2026"/>
    </row>
    <row r="14" spans="1:19" ht="18" customHeight="1">
      <c r="A14" s="2070"/>
      <c r="B14" s="2071"/>
      <c r="C14" s="2072" t="s">
        <v>1795</v>
      </c>
      <c r="D14" s="1047"/>
      <c r="E14" s="1047">
        <v>40</v>
      </c>
      <c r="F14" s="1047">
        <v>50</v>
      </c>
      <c r="G14" s="1047"/>
      <c r="H14" s="1047"/>
      <c r="I14" s="1047"/>
      <c r="J14" s="2039"/>
      <c r="K14" s="2074"/>
      <c r="L14" s="2025"/>
      <c r="M14" s="2025"/>
      <c r="N14" s="2026"/>
      <c r="O14" s="2027"/>
      <c r="P14" s="2026"/>
      <c r="Q14" s="2026"/>
      <c r="R14" s="2026"/>
    </row>
    <row r="15" spans="1:19" ht="18" customHeight="1">
      <c r="A15" s="2057"/>
      <c r="B15" s="2075"/>
      <c r="C15" s="2072" t="s">
        <v>1796</v>
      </c>
      <c r="D15" s="1046" t="str">
        <f>IF(B12="出让",IF(D13="","",ROUNDDOWN(MIN((D13-$D$3)/365,D14),2)),D14)</f>
        <v/>
      </c>
      <c r="E15" s="1046">
        <f>IF(B12="出让",IF(E13="","",ROUNDDOWN(MIN((E13-$D$3)/365,E14),2)),E14)</f>
        <v>24.79</v>
      </c>
      <c r="F15" s="1046">
        <f>IF(B12="出让",IF(F13="","",ROUNDDOWN(MIN((F13-$D$3)/365,F14),2)),F14)</f>
        <v>34.799999999999997</v>
      </c>
      <c r="G15" s="1046" t="str">
        <f>IF(B12="出让",IF(G13="","",ROUNDDOWN(MIN((G13-$D$3)/365,G14),2)),G14)</f>
        <v/>
      </c>
      <c r="H15" s="1046" t="str">
        <f>IF(B12="出让",IF(H13="","",ROUNDDOWN(MIN((H13-$D$3)/365,H14),2)),H14)</f>
        <v/>
      </c>
      <c r="I15" s="1046" t="str">
        <f>IF(B12="出让",IF(I13="","",ROUNDDOWN(MIN((I13-$D$3)/365,I14),2)),I14)</f>
        <v/>
      </c>
      <c r="J15" s="2039"/>
      <c r="K15" s="2076"/>
      <c r="L15" s="2077"/>
      <c r="M15" s="2077"/>
      <c r="N15" s="2078"/>
      <c r="O15" s="2077"/>
      <c r="P15" s="2078"/>
      <c r="Q15" s="2026"/>
      <c r="R15" s="2026"/>
    </row>
    <row r="16" spans="1:19" ht="30.75" customHeight="1">
      <c r="A16" s="2060" t="s">
        <v>1797</v>
      </c>
      <c r="B16" s="3036" t="s">
        <v>3220</v>
      </c>
      <c r="C16" s="3037"/>
      <c r="D16" s="3038"/>
      <c r="E16" s="2079" t="s">
        <v>1798</v>
      </c>
      <c r="F16" s="3039" t="s">
        <v>3221</v>
      </c>
      <c r="G16" s="3040"/>
      <c r="H16" s="3040"/>
      <c r="I16" s="3041"/>
      <c r="J16" s="2026"/>
      <c r="K16" s="2076"/>
      <c r="L16" s="2077"/>
      <c r="M16" s="2077"/>
      <c r="N16" s="2078"/>
      <c r="O16" s="2077"/>
      <c r="P16" s="2078"/>
      <c r="Q16" s="2026"/>
      <c r="R16" s="2026"/>
    </row>
    <row r="17" spans="1:22" ht="18" customHeight="1">
      <c r="A17" s="2080" t="s">
        <v>1799</v>
      </c>
      <c r="B17" s="2032" t="s">
        <v>1800</v>
      </c>
      <c r="C17" s="1051">
        <f>'数据-汇总表'!E3</f>
        <v>48967.92</v>
      </c>
      <c r="D17" s="2081" t="s">
        <v>1801</v>
      </c>
      <c r="E17" s="3042" t="s">
        <v>3223</v>
      </c>
      <c r="F17" s="3043"/>
      <c r="G17" s="3043"/>
      <c r="H17" s="3043"/>
      <c r="I17" s="3044"/>
      <c r="J17" s="2026"/>
      <c r="K17" s="2082"/>
      <c r="L17" s="2077"/>
      <c r="M17" s="2077"/>
      <c r="N17" s="2078"/>
      <c r="O17" s="2077"/>
      <c r="P17" s="2078"/>
      <c r="Q17" s="2026"/>
      <c r="R17" s="2026"/>
      <c r="S17" s="2026"/>
      <c r="T17" s="2026"/>
      <c r="U17" s="2026"/>
      <c r="V17" s="2026"/>
    </row>
    <row r="18" spans="1:22" ht="36" customHeight="1" thickBot="1">
      <c r="A18" s="2083" t="s">
        <v>1802</v>
      </c>
      <c r="B18" s="2035" t="s">
        <v>1803</v>
      </c>
      <c r="C18" s="1441">
        <f>'数据-汇总表'!D3</f>
        <v>8969.4599999999991</v>
      </c>
      <c r="D18" s="2084" t="s">
        <v>1801</v>
      </c>
      <c r="E18" s="3045" t="s">
        <v>3222</v>
      </c>
      <c r="F18" s="3046"/>
      <c r="G18" s="3046"/>
      <c r="H18" s="3046"/>
      <c r="I18" s="3047"/>
      <c r="J18" s="2026"/>
      <c r="K18" s="2082"/>
      <c r="L18" s="2077"/>
      <c r="M18" s="2077"/>
      <c r="N18" s="2078"/>
      <c r="O18" s="2077"/>
      <c r="P18" s="2078"/>
      <c r="Q18" s="2026"/>
      <c r="R18" s="2026"/>
      <c r="S18" s="2026"/>
      <c r="T18" s="2026"/>
      <c r="U18" s="2026"/>
      <c r="V18" s="2026"/>
    </row>
    <row r="19" spans="1:22" ht="37.5" customHeight="1" thickTop="1" thickBot="1">
      <c r="A19" s="372" t="s">
        <v>1804</v>
      </c>
      <c r="B19" s="351" t="s">
        <v>1805</v>
      </c>
      <c r="C19" s="2085" t="s">
        <v>3224</v>
      </c>
      <c r="D19" s="2086" t="s">
        <v>1806</v>
      </c>
      <c r="E19" s="2087" t="s">
        <v>70</v>
      </c>
      <c r="F19" s="2088" t="str">
        <f>IF(AND(C19="是",E19="否"),"是否提供他项权证或相关说明","")</f>
        <v/>
      </c>
      <c r="G19" s="2089" t="s">
        <v>70</v>
      </c>
      <c r="H19" s="2039"/>
      <c r="I19" s="2039"/>
      <c r="J19" s="2039"/>
      <c r="K19" s="2048"/>
      <c r="L19" s="2025"/>
      <c r="M19" s="2025"/>
      <c r="N19" s="2078"/>
      <c r="O19" s="2077"/>
      <c r="P19" s="2078"/>
      <c r="Q19" s="2026"/>
      <c r="R19" s="2026"/>
      <c r="S19" s="2026"/>
      <c r="T19" s="2026"/>
      <c r="U19" s="2026"/>
      <c r="V19" s="2026"/>
    </row>
    <row r="20" spans="1:22" ht="18" customHeight="1">
      <c r="A20" s="2090" t="s">
        <v>1807</v>
      </c>
      <c r="B20" s="3032" t="s">
        <v>1808</v>
      </c>
      <c r="C20" s="3033"/>
      <c r="D20" s="3034" t="s">
        <v>1809</v>
      </c>
      <c r="E20" s="3035"/>
      <c r="F20" s="2091" t="s">
        <v>1810</v>
      </c>
      <c r="G20" s="2039"/>
      <c r="H20" s="2039"/>
      <c r="I20" s="2039"/>
      <c r="J20" s="2039"/>
      <c r="K20" s="3031" t="s">
        <v>1811</v>
      </c>
      <c r="L20" s="74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5"/>
      <c r="N20" s="2078"/>
      <c r="O20" s="2077"/>
      <c r="P20" s="2078"/>
      <c r="Q20" s="2026"/>
      <c r="R20" s="2026"/>
      <c r="S20" s="2026"/>
      <c r="T20" s="2026"/>
      <c r="U20" s="2026"/>
      <c r="V20" s="2026"/>
    </row>
    <row r="21" spans="1:22" ht="24.75" customHeight="1">
      <c r="A21" s="2090"/>
      <c r="B21" s="2092" t="s">
        <v>1812</v>
      </c>
      <c r="C21" s="2093" t="s">
        <v>1813</v>
      </c>
      <c r="D21" s="2094" t="s">
        <v>1814</v>
      </c>
      <c r="E21" s="2095" t="s">
        <v>70</v>
      </c>
      <c r="F21" s="2096"/>
      <c r="G21" s="2039"/>
      <c r="H21" s="2039"/>
      <c r="I21" s="2039"/>
      <c r="J21" s="2039"/>
      <c r="K21" s="303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t="s">
        <v>1815</v>
      </c>
      <c r="C22" s="2093" t="s">
        <v>70</v>
      </c>
      <c r="D22" s="2023"/>
      <c r="E22" s="2023"/>
      <c r="F22" s="2098"/>
      <c r="G22" s="2039"/>
      <c r="H22" s="2039"/>
      <c r="I22" s="2039"/>
      <c r="J22" s="2039"/>
      <c r="K22" s="303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1816</v>
      </c>
      <c r="B23" s="182" t="s">
        <v>1817</v>
      </c>
      <c r="C23" s="2100"/>
      <c r="D23" s="2101" t="s">
        <v>1817</v>
      </c>
      <c r="E23" s="2102"/>
      <c r="F23" s="2098"/>
      <c r="G23" s="2039"/>
      <c r="H23" s="2039"/>
      <c r="I23" s="2039"/>
      <c r="J23" s="2039"/>
      <c r="K23" s="2103"/>
      <c r="L23" s="746"/>
      <c r="M23" s="2025"/>
      <c r="N23" s="2078"/>
      <c r="O23" s="2077"/>
      <c r="P23" s="2078"/>
      <c r="Q23" s="2026"/>
      <c r="R23" s="2026"/>
      <c r="S23" s="2026"/>
      <c r="T23" s="2026"/>
      <c r="U23" s="2026"/>
      <c r="V23" s="2026"/>
    </row>
    <row r="24" spans="1:22" ht="18" customHeight="1">
      <c r="A24" s="2104"/>
      <c r="B24" s="182" t="s">
        <v>1818</v>
      </c>
      <c r="C24" s="2105"/>
      <c r="D24" s="2099" t="s">
        <v>1818</v>
      </c>
      <c r="E24" s="2106"/>
      <c r="F24" s="2098"/>
      <c r="G24" s="2039"/>
      <c r="H24" s="2039"/>
      <c r="I24" s="2039"/>
      <c r="J24" s="2039"/>
      <c r="K24" s="2103"/>
      <c r="L24" s="746"/>
      <c r="M24" s="2025"/>
      <c r="N24" s="2078"/>
      <c r="O24" s="2077"/>
      <c r="P24" s="2078"/>
      <c r="Q24" s="2026"/>
      <c r="R24" s="2026"/>
      <c r="S24" s="2026"/>
      <c r="T24" s="2026"/>
      <c r="U24" s="2026"/>
      <c r="V24" s="2026"/>
    </row>
    <row r="25" spans="1:22" ht="18" customHeight="1">
      <c r="A25" s="2104"/>
      <c r="B25" s="182" t="s">
        <v>1819</v>
      </c>
      <c r="C25" s="2105"/>
      <c r="D25" s="2099" t="s">
        <v>1819</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1820</v>
      </c>
      <c r="C26" s="2109"/>
      <c r="D26" s="2110" t="s">
        <v>1821</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19" t="s">
        <v>1822</v>
      </c>
      <c r="B27" s="2057" t="s">
        <v>1823</v>
      </c>
      <c r="C27" s="2113"/>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19"/>
      <c r="B28" s="2032" t="s">
        <v>1824</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19"/>
      <c r="B29" s="2032" t="s">
        <v>1825</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20"/>
      <c r="B30" s="2032" t="s">
        <v>1826</v>
      </c>
      <c r="C30" s="3021"/>
      <c r="D30" s="3022"/>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23" t="s">
        <v>1827</v>
      </c>
      <c r="B31" s="2120"/>
      <c r="C31" s="2121" t="str">
        <f>IF(B31="现房","成新及维护状况正常否",IF(B31="在建","工程状态是否正常",IF(B31="土地","是否闲置","-")))</f>
        <v>-</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24"/>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24"/>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7" t="s">
        <v>3064</v>
      </c>
      <c r="C34" s="2127" t="s">
        <v>3065</v>
      </c>
      <c r="D34" s="2127" t="s">
        <v>3066</v>
      </c>
      <c r="E34" s="2127" t="s">
        <v>3067</v>
      </c>
      <c r="F34" s="2127" t="s">
        <v>3068</v>
      </c>
      <c r="G34" s="2127" t="s">
        <v>3069</v>
      </c>
      <c r="H34" s="2127"/>
      <c r="I34" s="2039"/>
      <c r="J34" s="2039"/>
      <c r="K34" s="1792">
        <f>COUNTIF(B34:H34,"——")</f>
        <v>0</v>
      </c>
      <c r="L34" s="2068" t="s">
        <v>1829</v>
      </c>
      <c r="M34" s="2068" t="s">
        <v>1830</v>
      </c>
      <c r="N34" s="2068" t="s">
        <v>1831</v>
      </c>
      <c r="O34" s="2068" t="s">
        <v>1832</v>
      </c>
      <c r="P34" s="2068" t="s">
        <v>1833</v>
      </c>
      <c r="Q34" s="2068" t="s">
        <v>1834</v>
      </c>
      <c r="R34" s="2068" t="s">
        <v>1835</v>
      </c>
      <c r="S34" s="3018" t="s">
        <v>1836</v>
      </c>
      <c r="T34" s="2128" t="str">
        <f>NUMBERSTRING(7-K34,1)&amp;"通"</f>
        <v>七通</v>
      </c>
      <c r="U34" s="2026"/>
      <c r="V34" s="2026"/>
    </row>
    <row r="35" spans="1:22" ht="18" customHeight="1">
      <c r="A35" s="2129"/>
      <c r="B35" s="3025" t="s">
        <v>1837</v>
      </c>
      <c r="C35" s="3025"/>
      <c r="D35" s="3025"/>
      <c r="E35" s="3025"/>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8"/>
      <c r="T35" s="48" t="str">
        <f>IF(T34="一通",L35,IF(T34="二通",M35,IF(T34="三通",N35,IF(T34="四通",O35,IF(T34="五通",P35,IF(T34="六通",Q35,R35))))))</f>
        <v>通路、通电、通讯、通上水、通下水、燃气、</v>
      </c>
      <c r="U35" s="2026"/>
      <c r="V35" s="2026"/>
    </row>
    <row r="36" spans="1:22" ht="18" customHeight="1">
      <c r="A36" s="2131"/>
      <c r="B36" s="2130" t="s">
        <v>1838</v>
      </c>
      <c r="C36" s="2130" t="s">
        <v>1839</v>
      </c>
      <c r="D36" s="2130" t="s">
        <v>1840</v>
      </c>
      <c r="E36" s="2130" t="s">
        <v>1841</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1842</v>
      </c>
      <c r="B37" s="2134" t="s">
        <v>56</v>
      </c>
      <c r="C37" s="2134" t="s">
        <v>56</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1843</v>
      </c>
      <c r="B38" s="2136" t="s">
        <v>3063</v>
      </c>
      <c r="C38" s="2136" t="s">
        <v>3063</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1845</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1846</v>
      </c>
      <c r="B42" s="1792" t="s">
        <v>1847</v>
      </c>
      <c r="C42" s="1792" t="s">
        <v>1848</v>
      </c>
      <c r="D42" s="1792" t="s">
        <v>1849</v>
      </c>
      <c r="E42" s="1792" t="s">
        <v>1850</v>
      </c>
      <c r="F42" s="1792" t="s">
        <v>1851</v>
      </c>
      <c r="G42" s="1792" t="s">
        <v>1852</v>
      </c>
      <c r="H42" s="1792" t="s">
        <v>1853</v>
      </c>
      <c r="I42" s="1792" t="s">
        <v>1854</v>
      </c>
      <c r="J42" s="2146" t="s">
        <v>1855</v>
      </c>
      <c r="K42" s="2069" t="s">
        <v>1856</v>
      </c>
      <c r="L42" s="2069" t="s">
        <v>1857</v>
      </c>
      <c r="M42" s="2069" t="s">
        <v>1858</v>
      </c>
      <c r="N42" s="1792" t="s">
        <v>1859</v>
      </c>
      <c r="O42" s="1792" t="s">
        <v>1860</v>
      </c>
      <c r="P42" s="1792" t="s">
        <v>1861</v>
      </c>
      <c r="Q42" s="2068" t="s">
        <v>1862</v>
      </c>
      <c r="R42" s="2068" t="s">
        <v>1863</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1869</v>
      </c>
      <c r="AZ2" s="1267"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8969.4599999999991</v>
      </c>
      <c r="B3" s="14">
        <f>IF(C3="否",G5-AT5,G5)</f>
        <v>48967.92</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0"/>
      <c r="C5" s="1800"/>
      <c r="D5" s="1803"/>
      <c r="E5" s="16" t="s">
        <v>1</v>
      </c>
      <c r="F5" s="16">
        <f>SUM(F13:F587)</f>
        <v>0</v>
      </c>
      <c r="G5" s="16">
        <f>SUM(G13:G587)</f>
        <v>48967.92</v>
      </c>
      <c r="H5" s="16">
        <f t="shared" ref="H5:AT5" si="0">SUM(H13:H656)</f>
        <v>48967.92</v>
      </c>
      <c r="I5" s="16">
        <f t="shared" si="0"/>
        <v>37202.92</v>
      </c>
      <c r="J5" s="16">
        <f t="shared" si="0"/>
        <v>0</v>
      </c>
      <c r="K5" s="16">
        <f t="shared" si="0"/>
        <v>11765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48967.92</v>
      </c>
      <c r="BA5" s="18">
        <f t="shared" si="1"/>
        <v>48967.92</v>
      </c>
      <c r="BB5" s="18">
        <f t="shared" si="1"/>
        <v>37202.92</v>
      </c>
      <c r="BC5" s="18">
        <f t="shared" si="1"/>
        <v>11765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8969.4599999999991</v>
      </c>
      <c r="F6" s="16" t="s">
        <v>1</v>
      </c>
      <c r="G6" s="16" t="s">
        <v>2</v>
      </c>
      <c r="H6" s="20">
        <f>SUMIF(I$12:AB$12,"总值",I6:AB6)</f>
        <v>8969.4599999999991</v>
      </c>
      <c r="I6" s="16">
        <f t="shared" ref="I6:AB6" si="2">ROUND($A$3*I5/$B$3,2)</f>
        <v>6814.46</v>
      </c>
      <c r="J6" s="16">
        <f t="shared" si="2"/>
        <v>0</v>
      </c>
      <c r="K6" s="16">
        <f t="shared" si="2"/>
        <v>2155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8969.4599999999991</v>
      </c>
      <c r="AZ6" s="16" t="s">
        <v>3</v>
      </c>
      <c r="BA6" s="16">
        <f>ROUND($AY$6*BA5/$AZ$5,2)</f>
        <v>8969.4599999999991</v>
      </c>
      <c r="BB6" s="16">
        <f>ROUND($AY$6*BB5/$AZ$5,2)</f>
        <v>6814.46</v>
      </c>
      <c r="BC6" s="16">
        <f t="shared" ref="BC6:BH6" si="4">ROUND($AY$6*BC5/$AZ$5,2)</f>
        <v>2155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1882</v>
      </c>
      <c r="AV7" s="23" t="s">
        <v>1883</v>
      </c>
      <c r="AW7" s="2160" t="s">
        <v>1884</v>
      </c>
      <c r="AX7" s="23" t="s">
        <v>1877</v>
      </c>
      <c r="AY7" s="1800"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5"/>
      <c r="K8" s="1815"/>
      <c r="L8" s="1815"/>
      <c r="M8" s="1815"/>
      <c r="N8" s="1815"/>
      <c r="O8" s="1815"/>
      <c r="P8" s="1815"/>
      <c r="Q8" s="1815"/>
      <c r="R8" s="1815"/>
      <c r="S8" s="1815"/>
      <c r="T8" s="1815"/>
      <c r="U8" s="1815"/>
      <c r="V8" s="2180"/>
      <c r="W8" s="1815"/>
      <c r="X8" s="1815"/>
      <c r="Y8" s="1815"/>
      <c r="Z8" s="1815"/>
      <c r="AA8" s="2180"/>
      <c r="AB8" s="2181"/>
      <c r="AC8" s="978" t="s">
        <v>1888</v>
      </c>
      <c r="AD8" s="2182"/>
      <c r="AE8" s="2174"/>
      <c r="AF8" s="1815"/>
      <c r="AG8" s="1815"/>
      <c r="AH8" s="1815"/>
      <c r="AI8" s="1815"/>
      <c r="AJ8" s="1815"/>
      <c r="AK8" s="1815"/>
      <c r="AL8" s="1815"/>
      <c r="AM8" s="1815"/>
      <c r="AN8" s="1815"/>
      <c r="AO8" s="1815"/>
      <c r="AP8" s="1815"/>
      <c r="AQ8" s="1815"/>
      <c r="AR8" s="1815"/>
      <c r="AS8" s="1815"/>
      <c r="AT8" s="1289" t="s">
        <v>1889</v>
      </c>
      <c r="AU8" s="2176" t="s">
        <v>1890</v>
      </c>
      <c r="AV8" s="1289"/>
      <c r="AW8" s="2159"/>
      <c r="AX8" s="1289"/>
      <c r="AY8" s="2160"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1893</v>
      </c>
      <c r="I9" s="2185" t="s">
        <v>3057</v>
      </c>
      <c r="J9" s="978"/>
      <c r="K9" s="2185" t="s">
        <v>3058</v>
      </c>
      <c r="L9" s="978"/>
      <c r="M9" s="2185"/>
      <c r="N9" s="978"/>
      <c r="O9" s="2185"/>
      <c r="P9" s="978"/>
      <c r="Q9" s="2185"/>
      <c r="R9" s="978"/>
      <c r="S9" s="2185"/>
      <c r="T9" s="978"/>
      <c r="U9" s="2185"/>
      <c r="V9" s="978"/>
      <c r="W9" s="2185"/>
      <c r="X9" s="2186"/>
      <c r="Y9" s="2185"/>
      <c r="Z9" s="978"/>
      <c r="AA9" s="2185"/>
      <c r="AB9" s="978"/>
      <c r="AC9" s="2177"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7"/>
      <c r="AT9" s="2176"/>
      <c r="AU9" s="2176" t="s">
        <v>1896</v>
      </c>
      <c r="AV9" s="1289"/>
      <c r="AW9" s="2159"/>
      <c r="AX9" s="1289"/>
      <c r="AY9" s="28"/>
      <c r="AZ9" s="28" t="s">
        <v>1886</v>
      </c>
      <c r="BA9" s="2188" t="s">
        <v>1897</v>
      </c>
      <c r="BB9" s="2189"/>
      <c r="BC9" s="1335"/>
      <c r="BD9" s="1335"/>
      <c r="BE9" s="1335"/>
      <c r="BF9" s="1335"/>
      <c r="BG9" s="1335"/>
      <c r="BH9" s="1335"/>
      <c r="BI9" s="1335"/>
      <c r="BJ9" s="1335"/>
      <c r="BK9" s="2190"/>
      <c r="BL9" s="15" t="s">
        <v>1898</v>
      </c>
      <c r="BM9" s="1815"/>
      <c r="BN9" s="2179"/>
      <c r="BO9" s="1815"/>
      <c r="BP9" s="1815"/>
      <c r="BQ9" s="1815"/>
      <c r="BR9" s="1815"/>
      <c r="BS9" s="1815"/>
      <c r="BT9" s="26"/>
    </row>
    <row r="10" spans="1:72" s="2183" customFormat="1" ht="12.75">
      <c r="A10" s="2176"/>
      <c r="B10" s="2176"/>
      <c r="C10" s="2176"/>
      <c r="D10" s="2176"/>
      <c r="E10" s="2176"/>
      <c r="F10" s="2176"/>
      <c r="G10" s="1289"/>
      <c r="H10" s="28"/>
      <c r="I10" s="2185" t="s">
        <v>1373</v>
      </c>
      <c r="J10" s="978"/>
      <c r="K10" s="2191" t="s">
        <v>1373</v>
      </c>
      <c r="L10" s="978"/>
      <c r="M10" s="2191"/>
      <c r="N10" s="978"/>
      <c r="O10" s="2191"/>
      <c r="P10" s="978"/>
      <c r="Q10" s="2191"/>
      <c r="R10" s="978"/>
      <c r="S10" s="2191"/>
      <c r="T10" s="978"/>
      <c r="U10" s="2191"/>
      <c r="V10" s="978"/>
      <c r="W10" s="2191"/>
      <c r="X10" s="978"/>
      <c r="Y10" s="2191"/>
      <c r="Z10" s="978"/>
      <c r="AA10" s="2191"/>
      <c r="AB10" s="978"/>
      <c r="AC10" s="1289"/>
      <c r="AD10" s="15" t="s">
        <v>1899</v>
      </c>
      <c r="AE10" s="2192"/>
      <c r="AF10" s="15" t="s">
        <v>1899</v>
      </c>
      <c r="AG10" s="2192"/>
      <c r="AH10" s="15" t="s">
        <v>1900</v>
      </c>
      <c r="AI10" s="2192"/>
      <c r="AJ10" s="15" t="s">
        <v>1900</v>
      </c>
      <c r="AK10" s="2192"/>
      <c r="AL10" s="15" t="s">
        <v>1901</v>
      </c>
      <c r="AM10" s="1295"/>
      <c r="AN10" s="15" t="s">
        <v>1901</v>
      </c>
      <c r="AO10" s="1295"/>
      <c r="AP10" s="15" t="s">
        <v>1902</v>
      </c>
      <c r="AQ10" s="1295"/>
      <c r="AR10" s="15" t="s">
        <v>1902</v>
      </c>
      <c r="AS10" s="1295"/>
      <c r="AT10" s="2176"/>
      <c r="AU10" s="2176"/>
      <c r="AV10" s="1289"/>
      <c r="AW10" s="2159"/>
      <c r="AX10" s="1289"/>
      <c r="AY10" s="28"/>
      <c r="AZ10" s="28"/>
      <c r="BA10" s="2193" t="s">
        <v>1893</v>
      </c>
      <c r="BB10" s="2194" t="str">
        <f>I9</f>
        <v>地上</v>
      </c>
      <c r="BC10" s="29" t="str">
        <f>K9</f>
        <v>地下</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1903</v>
      </c>
      <c r="AE11" s="1816"/>
      <c r="AF11" s="2198" t="s">
        <v>1903</v>
      </c>
      <c r="AG11" s="1816"/>
      <c r="AH11" s="2198" t="s">
        <v>1904</v>
      </c>
      <c r="AI11" s="2199"/>
      <c r="AJ11" s="2198" t="s">
        <v>1904</v>
      </c>
      <c r="AK11" s="1816"/>
      <c r="AL11" s="1814"/>
      <c r="AM11" s="1816"/>
      <c r="AN11" s="1814"/>
      <c r="AO11" s="1816"/>
      <c r="AP11" s="1814"/>
      <c r="AQ11" s="1816"/>
      <c r="AR11" s="1814"/>
      <c r="AS11" s="1816"/>
      <c r="AT11" s="2159"/>
      <c r="AU11" s="2176"/>
      <c r="AV11" s="1289"/>
      <c r="AW11" s="2159"/>
      <c r="AX11" s="1289"/>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3"/>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1269"/>
      <c r="D13" s="2207" t="s">
        <v>3059</v>
      </c>
      <c r="E13" s="16">
        <f>IF($C$3="是",ROUND($A$3*G13/$B$3,2),ROUND($A$3*(G13-AT13)/$B$3,2))</f>
        <v>8969.4599999999991</v>
      </c>
      <c r="F13" s="32"/>
      <c r="G13" s="33">
        <f>H13+AC13+AT13</f>
        <v>48967.92</v>
      </c>
      <c r="H13" s="20">
        <f>SUMIF(I$12:AB$12,"总值",I13:AB13)</f>
        <v>48967.92</v>
      </c>
      <c r="I13" s="3305">
        <v>37202.92</v>
      </c>
      <c r="J13" s="3305"/>
      <c r="K13" s="3305">
        <v>11765</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8969.4599999999991</v>
      </c>
      <c r="AZ13" s="16">
        <f>BA13+BL13</f>
        <v>48967.92</v>
      </c>
      <c r="BA13" s="16">
        <f>SUM(BB13:BK13)</f>
        <v>48967.92</v>
      </c>
      <c r="BB13" s="16">
        <f>IF($D13="是",I13-J13,0)</f>
        <v>37202.92</v>
      </c>
      <c r="BC13" s="16">
        <f>IF($D13="是",K13-L13,0)</f>
        <v>11765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7" sqref="I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89"/>
      <c r="C1" s="1389"/>
      <c r="D1" s="1389"/>
      <c r="E1" s="1389"/>
      <c r="F1" s="1389"/>
      <c r="G1" s="1389"/>
      <c r="H1" s="1389"/>
      <c r="I1" s="1389"/>
      <c r="J1" s="1389"/>
      <c r="K1" s="1389"/>
      <c r="L1" s="1389"/>
      <c r="M1" s="1389"/>
      <c r="N1" s="1389"/>
      <c r="O1" s="1389"/>
      <c r="P1" s="1389"/>
    </row>
    <row r="2" spans="1:16" ht="15">
      <c r="A2" s="3059" t="s">
        <v>1933</v>
      </c>
      <c r="B2" s="3059"/>
      <c r="C2" s="3059"/>
      <c r="D2" s="964" t="s">
        <v>1909</v>
      </c>
      <c r="E2" s="2221" t="s">
        <v>1910</v>
      </c>
      <c r="F2" s="1389"/>
      <c r="G2" s="2222"/>
      <c r="H2" s="2223"/>
      <c r="I2" s="2224" t="s">
        <v>1934</v>
      </c>
      <c r="J2" s="1389"/>
      <c r="K2" s="1389"/>
      <c r="L2" s="1389"/>
      <c r="M2" s="1389"/>
      <c r="N2" s="1424"/>
      <c r="O2" s="1389"/>
      <c r="P2" s="1389"/>
    </row>
    <row r="3" spans="1:16" ht="15.75" thickBot="1">
      <c r="A3" s="3060" t="s">
        <v>1907</v>
      </c>
      <c r="B3" s="3060"/>
      <c r="C3" s="3060"/>
      <c r="D3" s="46">
        <f>'数据-基础表'!AY6</f>
        <v>8969.4599999999991</v>
      </c>
      <c r="E3" s="46">
        <f>'数据-基础表'!AZ5</f>
        <v>48967.92</v>
      </c>
      <c r="F3" s="1389"/>
      <c r="G3" s="1396"/>
      <c r="H3" s="1244" t="s">
        <v>1908</v>
      </c>
      <c r="I3" s="55">
        <f>ROUND('数据-基础表'!B3/'数据-基础表'!A3,2)</f>
        <v>5.46</v>
      </c>
      <c r="J3" s="1389"/>
      <c r="K3" s="1389"/>
      <c r="L3" s="1389"/>
      <c r="M3" s="1389"/>
      <c r="N3" s="1424"/>
      <c r="O3" s="1389"/>
      <c r="P3" s="1389"/>
    </row>
    <row r="4" spans="1:16" ht="15">
      <c r="A4" s="3061"/>
      <c r="B4" s="3062"/>
      <c r="C4" s="3063"/>
      <c r="D4" s="2225" t="s">
        <v>1909</v>
      </c>
      <c r="E4" s="2226" t="s">
        <v>1910</v>
      </c>
      <c r="F4" s="1389"/>
      <c r="G4" s="2227" t="s">
        <v>1935</v>
      </c>
      <c r="H4" s="1244" t="s">
        <v>1915</v>
      </c>
      <c r="I4" s="55">
        <f>ROUND(SUMIF('数据-基础表'!I9:AS9,"地上",'数据-基础表'!I5:AS5)/'数据-基础表'!A3,2)</f>
        <v>4.1500000000000004</v>
      </c>
      <c r="J4" s="1389"/>
      <c r="K4" s="1389"/>
      <c r="L4" s="1389"/>
      <c r="M4" s="1389"/>
      <c r="N4" s="1424"/>
      <c r="O4" s="1389"/>
      <c r="P4" s="1389"/>
    </row>
    <row r="5" spans="1:16">
      <c r="A5" s="47" t="s">
        <v>1911</v>
      </c>
      <c r="B5" s="3064" t="s">
        <v>1912</v>
      </c>
      <c r="C5" s="3064"/>
      <c r="D5" s="48">
        <f>ROUND($D$3*E5/$E$3,2)</f>
        <v>0</v>
      </c>
      <c r="E5" s="49">
        <f>SUMIF('数据-基础表'!$11:$11,"住宅",'数据-基础表'!$5:$5)</f>
        <v>0</v>
      </c>
      <c r="F5" s="1389"/>
      <c r="G5" s="1396"/>
      <c r="H5" s="1244" t="s">
        <v>1908</v>
      </c>
      <c r="I5" s="55">
        <f>ROUND(E31/D31,2)</f>
        <v>5.46</v>
      </c>
      <c r="J5" s="1389"/>
      <c r="K5" s="1389"/>
      <c r="L5" s="1389"/>
      <c r="M5" s="1389"/>
      <c r="N5" s="1389"/>
      <c r="O5" s="1389"/>
      <c r="P5" s="1389"/>
    </row>
    <row r="6" spans="1:16" ht="15" thickBot="1">
      <c r="A6" s="2228"/>
      <c r="B6" s="3064" t="s">
        <v>1913</v>
      </c>
      <c r="C6" s="3064"/>
      <c r="D6" s="48">
        <f>ROUND($D$3*E6/$E$3,2)</f>
        <v>8969.4599999999991</v>
      </c>
      <c r="E6" s="49">
        <f>E3-E5</f>
        <v>48967.92</v>
      </c>
      <c r="F6" s="1389"/>
      <c r="G6" s="2229" t="s">
        <v>1914</v>
      </c>
      <c r="H6" s="1396" t="s">
        <v>1915</v>
      </c>
      <c r="I6" s="936">
        <f>ROUND(F31/D31,2)</f>
        <v>4.1500000000000004</v>
      </c>
      <c r="J6" s="1389"/>
      <c r="K6" s="1389"/>
      <c r="L6" s="1389"/>
      <c r="M6" s="1389"/>
      <c r="N6" s="1389"/>
      <c r="O6" s="1389"/>
      <c r="P6" s="1389"/>
    </row>
    <row r="7" spans="1:16" ht="15">
      <c r="A7" s="3056"/>
      <c r="B7" s="3057"/>
      <c r="C7" s="3058"/>
      <c r="D7" s="2225" t="s">
        <v>1909</v>
      </c>
      <c r="E7" s="2230" t="s">
        <v>1916</v>
      </c>
      <c r="F7" s="1389"/>
      <c r="G7" s="2222" t="s">
        <v>1917</v>
      </c>
      <c r="H7" s="64"/>
      <c r="I7" s="419"/>
      <c r="J7" s="1389"/>
      <c r="K7" s="1389"/>
      <c r="L7" s="1389"/>
      <c r="M7" s="1389"/>
      <c r="N7" s="1389"/>
      <c r="O7" s="1389"/>
      <c r="P7" s="1389"/>
    </row>
    <row r="8" spans="1:16">
      <c r="A8" s="47" t="s">
        <v>1918</v>
      </c>
      <c r="B8" s="50" t="s">
        <v>1919</v>
      </c>
      <c r="C8" s="48" t="s">
        <v>1920</v>
      </c>
      <c r="D8" s="48">
        <f t="shared" ref="D8:D15" si="0">ROUND($D$3*E8/$E$3,2)</f>
        <v>6814.46</v>
      </c>
      <c r="E8" s="51">
        <f>SUMIF('数据-基础表'!BB10:BK10,"地上",'数据-基础表'!BB5:BK5)</f>
        <v>37202.92</v>
      </c>
      <c r="F8" s="1389"/>
      <c r="G8" s="2231"/>
      <c r="H8" s="2231"/>
      <c r="I8" s="1389"/>
      <c r="J8" s="1389"/>
      <c r="K8" s="1389"/>
      <c r="L8" s="1389"/>
      <c r="M8" s="1389"/>
      <c r="N8" s="1389"/>
      <c r="O8" s="1389"/>
      <c r="P8" s="1389"/>
    </row>
    <row r="9" spans="1:16">
      <c r="A9" s="2232"/>
      <c r="B9" s="2233"/>
      <c r="C9" s="48" t="s">
        <v>1921</v>
      </c>
      <c r="D9" s="48">
        <f t="shared" si="0"/>
        <v>0</v>
      </c>
      <c r="E9" s="52">
        <v>0</v>
      </c>
      <c r="F9" s="1389"/>
      <c r="G9" s="2231"/>
      <c r="H9" s="2231"/>
      <c r="I9" s="1389"/>
      <c r="J9" s="1389"/>
      <c r="K9" s="1389"/>
      <c r="L9" s="1389"/>
      <c r="M9" s="1389"/>
      <c r="N9" s="1389"/>
      <c r="O9" s="1389"/>
      <c r="P9" s="1389"/>
    </row>
    <row r="10" spans="1:16">
      <c r="A10" s="2232"/>
      <c r="B10" s="2233"/>
      <c r="C10" s="48" t="s">
        <v>1930</v>
      </c>
      <c r="D10" s="48">
        <f t="shared" si="0"/>
        <v>2155</v>
      </c>
      <c r="E10" s="51">
        <f>SUMPRODUCT(('数据-基础表'!BB10:BK10="地下")*('数据-基础表'!BB11:BK11="商业")*('数据-基础表'!BB5:BK5))</f>
        <v>11765</v>
      </c>
      <c r="F10" s="1389"/>
      <c r="G10" s="2231"/>
      <c r="H10" s="2231"/>
      <c r="I10" s="1389"/>
      <c r="J10" s="1389"/>
      <c r="K10" s="1389"/>
      <c r="L10" s="1389"/>
      <c r="M10" s="1389"/>
      <c r="N10" s="1389"/>
      <c r="O10" s="1389"/>
      <c r="P10" s="1389"/>
    </row>
    <row r="11" spans="1:16">
      <c r="A11" s="2232"/>
      <c r="B11" s="2233"/>
      <c r="C11" s="48" t="s">
        <v>1922</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1923</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1924</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1936</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1931</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1925</v>
      </c>
      <c r="D16" s="50">
        <f>SUM(D8:D15)</f>
        <v>8969.4599999999991</v>
      </c>
      <c r="E16" s="53">
        <f>SUM(E8:E15)</f>
        <v>48967.92</v>
      </c>
      <c r="F16" s="1389"/>
      <c r="G16" s="2231"/>
      <c r="H16" s="2234" t="s">
        <v>1937</v>
      </c>
      <c r="I16" s="2235"/>
      <c r="J16" s="1389"/>
      <c r="K16" s="3053" t="s">
        <v>1937</v>
      </c>
      <c r="L16" s="3054"/>
      <c r="M16" s="3054"/>
      <c r="N16" s="3054"/>
      <c r="O16" s="3054"/>
      <c r="P16" s="3055"/>
    </row>
    <row r="17" spans="1:19" ht="15">
      <c r="A17" s="2236" t="s">
        <v>1938</v>
      </c>
      <c r="B17" s="2237" t="s">
        <v>1939</v>
      </c>
      <c r="C17" s="2238" t="s">
        <v>1940</v>
      </c>
      <c r="D17" s="2239" t="s">
        <v>1928</v>
      </c>
      <c r="E17" s="2240" t="s">
        <v>1929</v>
      </c>
      <c r="F17" s="2241"/>
      <c r="G17" s="2242"/>
      <c r="H17" s="2243" t="s">
        <v>1941</v>
      </c>
      <c r="I17" s="2244" t="s">
        <v>1926</v>
      </c>
      <c r="J17" s="1389"/>
      <c r="K17" s="3050" t="s">
        <v>1942</v>
      </c>
      <c r="L17" s="3051"/>
      <c r="M17" s="3052"/>
      <c r="N17" s="3050" t="s">
        <v>1943</v>
      </c>
      <c r="O17" s="3051"/>
      <c r="P17" s="3052"/>
      <c r="R17" s="2222" t="s">
        <v>1944</v>
      </c>
      <c r="S17" s="64"/>
    </row>
    <row r="18" spans="1:19" ht="15">
      <c r="A18" s="2232"/>
      <c r="B18" s="2245"/>
      <c r="C18" s="2246"/>
      <c r="D18" s="2247"/>
      <c r="E18" s="2248" t="s">
        <v>1945</v>
      </c>
      <c r="F18" s="2249" t="s">
        <v>1946</v>
      </c>
      <c r="G18" s="2250" t="s">
        <v>1947</v>
      </c>
      <c r="H18" s="1259" t="s">
        <v>1948</v>
      </c>
      <c r="I18" s="2251" t="s">
        <v>1949</v>
      </c>
      <c r="J18" s="1389"/>
      <c r="K18" s="1259" t="s">
        <v>1950</v>
      </c>
      <c r="L18" s="2252" t="s">
        <v>1951</v>
      </c>
      <c r="M18" s="1043" t="s">
        <v>1952</v>
      </c>
      <c r="N18" s="1259" t="s">
        <v>1950</v>
      </c>
      <c r="O18" s="2252" t="s">
        <v>1951</v>
      </c>
      <c r="P18" s="1043" t="s">
        <v>1952</v>
      </c>
      <c r="R18" s="1244" t="s">
        <v>1953</v>
      </c>
      <c r="S18" s="1244" t="s">
        <v>1954</v>
      </c>
    </row>
    <row r="19" spans="1:19">
      <c r="A19" s="2253"/>
      <c r="B19" s="50" t="s">
        <v>1927</v>
      </c>
      <c r="C19" s="2946" t="s">
        <v>3061</v>
      </c>
      <c r="D19" s="48">
        <f>ROUND($D$3*E19/$E$3,2)</f>
        <v>8969.4599999999991</v>
      </c>
      <c r="E19" s="56">
        <f t="shared" ref="E19:E26" si="1">SUM(F19:G19)</f>
        <v>48967.92</v>
      </c>
      <c r="F19" s="57">
        <f>'数据-基础表'!I13</f>
        <v>37202.92</v>
      </c>
      <c r="G19" s="58">
        <f>'数据-基础表'!K13</f>
        <v>11765</v>
      </c>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8969.4599999999991</v>
      </c>
      <c r="S19" s="1245">
        <f t="shared" si="5"/>
        <v>48967.92</v>
      </c>
    </row>
    <row r="20" spans="1:19">
      <c r="A20" s="2257"/>
      <c r="B20" s="50" t="s">
        <v>1955</v>
      </c>
      <c r="C20" s="2254"/>
      <c r="D20" s="48">
        <f t="shared" ref="D20:D26" si="6">ROUND($D$3*E20/$E$3,2)</f>
        <v>0</v>
      </c>
      <c r="E20" s="56">
        <f t="shared" si="1"/>
        <v>0</v>
      </c>
      <c r="F20" s="57"/>
      <c r="G20" s="58"/>
      <c r="H20" s="722">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1955</v>
      </c>
      <c r="C21" s="2254"/>
      <c r="D21" s="48">
        <f t="shared" si="6"/>
        <v>0</v>
      </c>
      <c r="E21" s="56">
        <f t="shared" si="1"/>
        <v>0</v>
      </c>
      <c r="F21" s="57"/>
      <c r="G21" s="58"/>
      <c r="H21" s="722">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1955</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1955</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1955</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1956</v>
      </c>
      <c r="D27" s="1390">
        <f>SUM(D19:D26)</f>
        <v>8969.4599999999991</v>
      </c>
      <c r="E27" s="1391">
        <f>IF(SUM(E19:E26)='数据-基础表'!BA5,SUM(E19:E26),IF(F27="地上面积有误","面积有误","地下面积有误"))</f>
        <v>48967.92</v>
      </c>
      <c r="F27" s="1390">
        <f>IF(SUM(F19:F26)=E8,SUM(F19:F26),"地上面积有误")</f>
        <v>37202.92</v>
      </c>
      <c r="G27" s="1392">
        <f>SUM(G19:G26)</f>
        <v>11765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8969.4599999999991</v>
      </c>
      <c r="S27" s="1244">
        <f>IF(SUM(S19:S26)=$E$3,SUM(S19:S26),SUM(S19:S26)&amp;"误差"&amp;ROUND(SUM(S19:S26)-E3,2))</f>
        <v>48967.92</v>
      </c>
    </row>
    <row r="28" spans="1:19">
      <c r="A28" s="2257"/>
      <c r="B28" s="50" t="s">
        <v>1957</v>
      </c>
      <c r="C28" s="1256" t="s">
        <v>1958</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1957</v>
      </c>
      <c r="C29" s="2261"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1960</v>
      </c>
      <c r="D31" s="727">
        <f>D27+D30</f>
        <v>8969.4599999999991</v>
      </c>
      <c r="E31" s="727">
        <f>E27+E30</f>
        <v>48967.92</v>
      </c>
      <c r="F31" s="728">
        <f>F27+F30</f>
        <v>37202.92</v>
      </c>
      <c r="G31" s="729">
        <f>G27+G30</f>
        <v>11765</v>
      </c>
      <c r="H31" s="1389"/>
      <c r="I31" s="1389"/>
      <c r="J31" s="1389"/>
      <c r="K31" s="1389"/>
      <c r="L31" s="1389"/>
      <c r="M31" s="1389"/>
      <c r="N31" s="1389"/>
      <c r="O31" s="1389"/>
      <c r="P31" s="1389"/>
    </row>
    <row r="32" spans="1:19">
      <c r="A32" s="2227"/>
      <c r="B32" s="2227" t="s">
        <v>1961</v>
      </c>
      <c r="C32" s="2227"/>
      <c r="D32" s="2227"/>
      <c r="E32" s="1271">
        <f>SUMIF(C19:C26,"*住宅*",E19:E26)</f>
        <v>0</v>
      </c>
      <c r="F32" s="2227"/>
      <c r="G32" s="2227"/>
      <c r="H32" s="1389"/>
      <c r="I32" s="1389"/>
      <c r="J32" s="1389"/>
      <c r="K32" s="1389"/>
      <c r="L32" s="1389"/>
      <c r="M32" s="1389"/>
      <c r="N32" s="1389"/>
      <c r="O32" s="1389"/>
      <c r="P32" s="1389"/>
    </row>
    <row r="33" spans="4:5">
      <c r="D33" s="2265"/>
    </row>
    <row r="35" spans="4:5">
      <c r="E35" s="2220">
        <f>200000/E31*10000</f>
        <v>40843.066236017381</v>
      </c>
    </row>
    <row r="36" spans="4:5">
      <c r="E36" s="2220">
        <f>200000/F27*10000</f>
        <v>53759.221050390675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0"/>
      <c r="C1" s="1578"/>
      <c r="D1" s="2267"/>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1963</v>
      </c>
      <c r="B2" s="1263">
        <f>项目基本情况!D3</f>
        <v>43615</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1970</v>
      </c>
      <c r="B5" s="2284" t="s">
        <v>1971</v>
      </c>
      <c r="C5" s="2285" t="s">
        <v>1972</v>
      </c>
      <c r="D5" s="2286" t="s">
        <v>1973</v>
      </c>
      <c r="E5" s="1265" t="s">
        <v>1974</v>
      </c>
      <c r="F5" s="2287" t="s">
        <v>1975</v>
      </c>
      <c r="G5" s="1265" t="s">
        <v>1976</v>
      </c>
      <c r="H5" s="1265" t="s">
        <v>1977</v>
      </c>
      <c r="I5" s="1265" t="s">
        <v>1978</v>
      </c>
      <c r="J5" s="2288" t="s">
        <v>1979</v>
      </c>
      <c r="K5" s="2289" t="s">
        <v>1980</v>
      </c>
      <c r="L5" s="2290" t="s">
        <v>1981</v>
      </c>
      <c r="M5" s="2291" t="s">
        <v>1982</v>
      </c>
      <c r="N5" s="2292" t="s">
        <v>3062</v>
      </c>
      <c r="O5" s="2290" t="s">
        <v>1983</v>
      </c>
      <c r="P5" s="2293" t="s">
        <v>1984</v>
      </c>
      <c r="Q5" s="69" t="s">
        <v>1985</v>
      </c>
      <c r="R5" s="2294" t="s">
        <v>1986</v>
      </c>
      <c r="S5" s="2295" t="s">
        <v>1987</v>
      </c>
      <c r="T5" s="2296" t="s">
        <v>1988</v>
      </c>
      <c r="U5" s="1264" t="s">
        <v>1989</v>
      </c>
      <c r="V5" s="1265" t="s">
        <v>1990</v>
      </c>
      <c r="W5" s="1265" t="s">
        <v>1991</v>
      </c>
      <c r="X5" s="71"/>
      <c r="Y5" s="70" t="s">
        <v>1992</v>
      </c>
      <c r="Z5" s="2297" t="s">
        <v>1989</v>
      </c>
      <c r="AA5" s="1265" t="s">
        <v>1990</v>
      </c>
      <c r="AB5" s="1265" t="s">
        <v>1991</v>
      </c>
      <c r="AC5" s="71"/>
      <c r="AD5" s="71" t="s">
        <v>1992</v>
      </c>
      <c r="AE5" s="1264" t="s">
        <v>1993</v>
      </c>
      <c r="AF5" s="1265" t="s">
        <v>1994</v>
      </c>
      <c r="AG5" s="70" t="s">
        <v>1995</v>
      </c>
      <c r="AH5" s="1264" t="s">
        <v>1996</v>
      </c>
      <c r="AI5" s="2297" t="s">
        <v>1997</v>
      </c>
      <c r="AJ5" s="2297" t="s">
        <v>1998</v>
      </c>
      <c r="AK5" s="1265" t="s">
        <v>1999</v>
      </c>
      <c r="AL5" s="1265" t="s">
        <v>2000</v>
      </c>
      <c r="AM5" s="70" t="s">
        <v>2001</v>
      </c>
      <c r="AN5" s="2298" t="s">
        <v>2002</v>
      </c>
      <c r="AO5" s="2068" t="s">
        <v>2003</v>
      </c>
      <c r="AP5" s="1246"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酒店</v>
      </c>
      <c r="B6" s="2301" t="str">
        <f>IF(A6=0,"","经营性")</f>
        <v>经营性</v>
      </c>
      <c r="C6" s="2302" t="s">
        <v>1373</v>
      </c>
      <c r="D6" s="1048">
        <f>SUMIF(项目基本情况!D$12:I$12,C6,项目基本情况!D$14:I$14)</f>
        <v>40</v>
      </c>
      <c r="E6" s="1045">
        <f>IF(B6="","",SUMIF(项目基本情况!D$12:I$12,C6,项目基本情况!D$13:I$13))</f>
        <v>52665</v>
      </c>
      <c r="F6" s="72">
        <f>SUMIF(项目基本情况!D$12:I$12,C6,项目基本情况!D$15:I$15)</f>
        <v>24.79</v>
      </c>
      <c r="G6" s="73">
        <f>IF(ISERROR(ROUND(POWER(1+H6,D6-F6)*(POWER(1+H6,F6)-1)/(POWER(1+H6,D6)-1),3)),0,ROUND(POWER(1+H6,D6-F6)*(POWER(1+H6,F6)-1)/(POWER(1+H6,D6)-1),3))</f>
        <v>0.81799999999999995</v>
      </c>
      <c r="H6" s="3309">
        <v>0.05</v>
      </c>
      <c r="I6" s="800">
        <v>7.0000000000000007E-2</v>
      </c>
      <c r="J6" s="74">
        <v>0.08</v>
      </c>
      <c r="K6" s="1248">
        <f>SUMIF('数据-汇总表'!C$19:C$33,A6,'数据-汇总表'!E$19:E$33)</f>
        <v>48967.92</v>
      </c>
      <c r="L6" s="801">
        <v>8000</v>
      </c>
      <c r="M6" s="75">
        <f t="shared" ref="M6:M14" si="0">ROUND(K6*L6/10000,0)</f>
        <v>39174</v>
      </c>
      <c r="N6" s="799">
        <f>ROUND(1-(2019-2015)/60,2)</f>
        <v>0.93</v>
      </c>
      <c r="O6" s="75" t="str">
        <f>IF($N$5="成新度","——",ROUND(M6*N6,0))</f>
        <v>——</v>
      </c>
      <c r="P6" s="76" t="str">
        <f>IF($N$5="成新度","——",M6-O6)</f>
        <v>——</v>
      </c>
      <c r="Q6" s="802">
        <v>0.25</v>
      </c>
      <c r="R6" s="77">
        <f ca="1">SUMIF('数据-汇总表'!C$19:C$33,A6,'数据-汇总表'!R$19:R$27)</f>
        <v>8969.4599999999991</v>
      </c>
      <c r="S6" s="54">
        <f>IF('数据-汇总表'!$I$17="按面积比例",SUMIF('数据-汇总表'!C$19:C$33,A6,'数据-汇总表'!K$19:K$33),SUMIF('数据-汇总表'!C$19:C$33,A6,'数据-汇总表'!N$19:N$33))</f>
        <v>0</v>
      </c>
      <c r="T6" s="1440">
        <f>ROUND($L$14*S6/10000,0)</f>
        <v>0</v>
      </c>
      <c r="U6" s="78">
        <f>酒店收入计算!E26/'数据-取费表'!K6/365*10000</f>
        <v>6.6833803207633151</v>
      </c>
      <c r="V6" s="79">
        <v>2.5000000000000001E-2</v>
      </c>
      <c r="W6" s="79">
        <v>0</v>
      </c>
      <c r="X6" s="1258"/>
      <c r="Y6" s="80">
        <f>N6</f>
        <v>0.93</v>
      </c>
      <c r="Z6" s="81"/>
      <c r="AA6" s="74"/>
      <c r="AB6" s="74"/>
      <c r="AC6" s="1258"/>
      <c r="AD6" s="82"/>
      <c r="AE6" s="1259">
        <f ca="1">IF(AN6="",0,SUMIF(INDIRECT("'"&amp;AN6&amp;"'"&amp;"!E:E"),$AE$5,INDIRECT("'"&amp;AN6&amp;"'"&amp;"!F:F")))</f>
        <v>24.79</v>
      </c>
      <c r="AF6" s="1801"/>
      <c r="AG6" s="146">
        <f>IF(AF6="",0,AE6-AF6)</f>
        <v>0</v>
      </c>
      <c r="AH6" s="83"/>
      <c r="AI6" s="85">
        <v>365</v>
      </c>
      <c r="AJ6" s="86"/>
      <c r="AK6" s="87">
        <v>1.4999999999999999E-2</v>
      </c>
      <c r="AL6" s="88">
        <v>1.5E-3</v>
      </c>
      <c r="AM6" s="89">
        <v>0.02</v>
      </c>
      <c r="AN6" s="2303" t="s">
        <v>3116</v>
      </c>
      <c r="AO6" s="55">
        <f ca="1">SUMIF(INDIRECT("'"&amp;AN6&amp;"'"&amp;"!A:A"),"总价",INDIRECT("'"&amp;AN6&amp;"'"&amp;"!B:B"))</f>
        <v>139582</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8">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0"/>
      <c r="I8" s="800"/>
      <c r="J8" s="74"/>
      <c r="K8" s="1248">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0">
        <f t="shared" si="5"/>
        <v>0</v>
      </c>
      <c r="U8" s="803"/>
      <c r="V8" s="804"/>
      <c r="W8" s="804"/>
      <c r="X8" s="1258"/>
      <c r="Y8" s="805"/>
      <c r="Z8" s="81"/>
      <c r="AA8" s="74"/>
      <c r="AB8" s="74"/>
      <c r="AC8" s="1258"/>
      <c r="AD8" s="82"/>
      <c r="AE8" s="1259">
        <f t="shared" ca="1" si="6"/>
        <v>0</v>
      </c>
      <c r="AF8" s="1801"/>
      <c r="AG8" s="146">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2007</v>
      </c>
      <c r="B14" s="2301" t="s">
        <v>2008</v>
      </c>
      <c r="C14" s="2306" t="s">
        <v>2007</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1"/>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2009</v>
      </c>
      <c r="B15" s="2301" t="s">
        <v>2008</v>
      </c>
      <c r="C15" s="2306"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1"/>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2011</v>
      </c>
      <c r="B16" s="97"/>
      <c r="C16" s="1002"/>
      <c r="D16" s="2308"/>
      <c r="E16" s="97"/>
      <c r="F16" s="97"/>
      <c r="G16" s="98">
        <f>ROUND(SUMPRODUCT(G6:G13,K6:K13)/SUMPRODUCT((G6:G13&gt;0)*(K6:K13)),3)</f>
        <v>0.81799999999999995</v>
      </c>
      <c r="H16" s="99">
        <f>ROUND(SUMPRODUCT(H6:H13,K6:K13)/SUMPRODUCT((H6:H13&gt;0)*(K6:K13)),3)</f>
        <v>0.05</v>
      </c>
      <c r="I16" s="100"/>
      <c r="J16" s="100"/>
      <c r="K16" s="101">
        <f>SUM(K6:K15)</f>
        <v>48967.92</v>
      </c>
      <c r="L16" s="102">
        <f>ROUND(M16*10000/SUM(K6:K14),0)</f>
        <v>8000</v>
      </c>
      <c r="M16" s="102">
        <f>SUM(M6:M14)</f>
        <v>39174</v>
      </c>
      <c r="N16" s="103">
        <f>ROUND(SUMPRODUCT(M6:M14,N6:N14)/M16,3)</f>
        <v>0.93</v>
      </c>
      <c r="O16" s="102">
        <f>SUM(O6:O14)</f>
        <v>0</v>
      </c>
      <c r="P16" s="102">
        <f>SUM(P6:P14)</f>
        <v>0</v>
      </c>
      <c r="Q16" s="104">
        <f>ROUND(SUMPRODUCT(Q6:Q13,K6:K13)/SUMPRODUCT((Q6:Q13&gt;0)*(K6:K13)),2)</f>
        <v>0.25</v>
      </c>
      <c r="R16" s="1252">
        <f ca="1">SUM(R6:R13)</f>
        <v>8969.4599999999991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8"/>
      <c r="D17" s="2267"/>
      <c r="E17" s="2267"/>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4"/>
      <c r="C18" s="2271"/>
      <c r="D18" s="2272"/>
      <c r="E18" s="2271"/>
      <c r="F18" s="2271"/>
      <c r="G18" s="2271"/>
      <c r="H18" s="2271"/>
      <c r="I18" s="2271"/>
      <c r="J18" s="2271"/>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2013</v>
      </c>
      <c r="B19" s="112">
        <v>0</v>
      </c>
      <c r="C19" s="2271" t="s">
        <v>2014</v>
      </c>
      <c r="D19" s="2272"/>
      <c r="E19" s="2271"/>
      <c r="F19" s="2271"/>
      <c r="G19" s="2271"/>
      <c r="H19" s="2271"/>
      <c r="I19" s="2271"/>
      <c r="J19" s="2271"/>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2015</v>
      </c>
      <c r="B20" s="113">
        <v>2</v>
      </c>
      <c r="C20" s="2271" t="s">
        <v>2016</v>
      </c>
      <c r="D20" s="2272"/>
      <c r="E20" s="2271"/>
      <c r="F20" s="2271"/>
      <c r="G20" s="2271"/>
      <c r="H20" s="2271"/>
      <c r="I20" s="2271"/>
      <c r="J20" s="2271"/>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2017</v>
      </c>
      <c r="B21" s="113">
        <v>2</v>
      </c>
      <c r="C21" s="2271"/>
      <c r="D21" s="2272"/>
      <c r="E21" s="2271"/>
      <c r="F21" s="2271"/>
      <c r="G21" s="2271"/>
      <c r="H21" s="2271"/>
      <c r="I21" s="2271"/>
      <c r="J21" s="2271"/>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2018</v>
      </c>
      <c r="B22" s="114">
        <f>B19+B20</f>
        <v>2</v>
      </c>
      <c r="C22" s="2271"/>
      <c r="D22" s="2272"/>
      <c r="E22" s="2271"/>
      <c r="F22" s="2271"/>
      <c r="G22" s="2271"/>
      <c r="H22" s="2271"/>
      <c r="I22" s="2271"/>
      <c r="J22" s="2271"/>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2019</v>
      </c>
      <c r="B23" s="114">
        <f>B19+B21</f>
        <v>2</v>
      </c>
      <c r="C23" s="2271"/>
      <c r="D23" s="2272"/>
      <c r="E23" s="2271"/>
      <c r="F23" s="2271"/>
      <c r="G23" s="2271"/>
      <c r="H23" s="2271"/>
      <c r="I23" s="2271"/>
      <c r="J23" s="2271"/>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2020</v>
      </c>
      <c r="B24" s="115">
        <f>B20-B21</f>
        <v>0</v>
      </c>
      <c r="C24" s="2271"/>
      <c r="D24" s="2272"/>
      <c r="E24" s="2271"/>
      <c r="F24" s="2271"/>
      <c r="G24" s="2271"/>
      <c r="H24" s="2271"/>
      <c r="I24" s="2271"/>
      <c r="J24" s="2271"/>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2021</v>
      </c>
      <c r="B26" s="2314" t="s">
        <v>2022</v>
      </c>
      <c r="C26" s="2315" t="s">
        <v>2023</v>
      </c>
      <c r="D26" s="2272"/>
      <c r="E26" s="2271"/>
      <c r="F26" s="2271"/>
      <c r="G26" s="2271"/>
      <c r="H26" s="2271"/>
      <c r="I26" s="2271"/>
      <c r="J26" s="2271"/>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2024</v>
      </c>
      <c r="B27" s="116"/>
      <c r="C27" s="1761" t="s">
        <v>2025</v>
      </c>
      <c r="D27" s="2317"/>
      <c r="E27" s="1424"/>
      <c r="F27" s="1424"/>
      <c r="G27" s="2271"/>
      <c r="H27" s="2271"/>
      <c r="I27" s="2271"/>
      <c r="J27" s="2271"/>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2026</v>
      </c>
      <c r="B28" s="3306">
        <v>200</v>
      </c>
      <c r="C28" s="2320"/>
      <c r="D28" s="2317"/>
      <c r="E28" s="1424"/>
      <c r="F28" s="1424"/>
      <c r="G28" s="2271"/>
      <c r="H28" s="2271"/>
      <c r="I28" s="2271"/>
      <c r="J28" s="2271"/>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2027</v>
      </c>
      <c r="B29" s="3307">
        <f ca="1">成本法!C10</f>
        <v>979</v>
      </c>
      <c r="C29" s="1761" t="s">
        <v>2028</v>
      </c>
      <c r="D29" s="2317"/>
      <c r="E29" s="1424"/>
      <c r="F29" s="1424"/>
      <c r="G29" s="2271"/>
      <c r="H29" s="2271"/>
      <c r="I29" s="2271"/>
      <c r="J29" s="2271"/>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2029</v>
      </c>
      <c r="B30" s="723">
        <v>200</v>
      </c>
      <c r="C30" s="2320"/>
      <c r="D30" s="2317"/>
      <c r="E30" s="1424"/>
      <c r="F30" s="1424"/>
      <c r="G30" s="2271"/>
      <c r="H30" s="2271"/>
      <c r="I30" s="2271"/>
      <c r="J30" s="2271"/>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2030</v>
      </c>
      <c r="B31" s="120">
        <f>B30-B32</f>
        <v>0</v>
      </c>
      <c r="C31" s="1761"/>
      <c r="D31" s="2317"/>
      <c r="E31" s="1424"/>
      <c r="F31" s="1424"/>
      <c r="G31" s="2271"/>
      <c r="H31" s="2271"/>
      <c r="I31" s="2271"/>
      <c r="J31" s="2271"/>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2031</v>
      </c>
      <c r="B32" s="3308">
        <v>200</v>
      </c>
      <c r="C32" s="2320"/>
      <c r="D32" s="2272"/>
      <c r="E32" s="2271"/>
      <c r="F32" s="2271"/>
      <c r="G32" s="2271"/>
      <c r="H32" s="2271"/>
      <c r="I32" s="2271"/>
      <c r="J32" s="2271"/>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2032</v>
      </c>
      <c r="B33" s="724">
        <v>0.03</v>
      </c>
      <c r="C33" s="1760" t="s">
        <v>2033</v>
      </c>
      <c r="D33" s="2272"/>
      <c r="E33" s="2271"/>
      <c r="F33" s="2271"/>
      <c r="G33" s="2271"/>
      <c r="H33" s="2271"/>
      <c r="I33" s="2271"/>
      <c r="J33" s="2271"/>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2034</v>
      </c>
      <c r="B34" s="121">
        <v>0.05</v>
      </c>
      <c r="C34" s="1760" t="s">
        <v>2035</v>
      </c>
      <c r="D34" s="2272" t="s">
        <v>2036</v>
      </c>
      <c r="E34" s="730"/>
      <c r="F34" s="2271"/>
      <c r="G34" s="2271"/>
      <c r="H34" s="2271"/>
      <c r="I34" s="2271"/>
      <c r="J34" s="2271"/>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2037</v>
      </c>
      <c r="B35" s="119">
        <v>200</v>
      </c>
      <c r="C35" s="1760" t="s">
        <v>2038</v>
      </c>
      <c r="D35" s="2317"/>
      <c r="E35" s="1424"/>
      <c r="F35" s="1424"/>
      <c r="G35" s="2271"/>
      <c r="H35" s="2271"/>
      <c r="I35" s="2271"/>
      <c r="J35" s="2271"/>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2039</v>
      </c>
      <c r="B36" s="122">
        <v>1.4999999999999999E-2</v>
      </c>
      <c r="C36" s="1760" t="s">
        <v>2040</v>
      </c>
      <c r="D36" s="2272"/>
      <c r="E36" s="2271"/>
      <c r="F36" s="2271"/>
      <c r="G36" s="2271"/>
      <c r="H36" s="2271"/>
      <c r="I36" s="2271"/>
      <c r="J36" s="2271"/>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2041</v>
      </c>
      <c r="B37" s="123">
        <v>0.02</v>
      </c>
      <c r="C37" s="1760" t="s">
        <v>2042</v>
      </c>
      <c r="D37" s="2272"/>
      <c r="E37" s="2271"/>
      <c r="F37" s="2271"/>
      <c r="G37" s="2271"/>
      <c r="H37" s="2271"/>
      <c r="I37" s="2271"/>
      <c r="J37" s="2271"/>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2043</v>
      </c>
      <c r="B38" s="121">
        <v>0.02</v>
      </c>
      <c r="C38" s="1760" t="s">
        <v>2042</v>
      </c>
      <c r="D38" s="2272"/>
      <c r="E38" s="2271"/>
      <c r="F38" s="2271"/>
      <c r="G38" s="2271"/>
      <c r="H38" s="2271"/>
      <c r="I38" s="2271"/>
      <c r="J38" s="2271"/>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2044</v>
      </c>
      <c r="B39" s="361">
        <f ca="1">存贷款利率!I1</f>
        <v>1.4999999999999999E-2</v>
      </c>
      <c r="C39" s="1760"/>
      <c r="D39" s="2272"/>
      <c r="E39" s="2271"/>
      <c r="F39" s="2271"/>
      <c r="G39" s="2271"/>
      <c r="H39" s="2271"/>
      <c r="I39" s="2271"/>
      <c r="J39" s="2271"/>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2045</v>
      </c>
      <c r="B40" s="1297">
        <f ca="1">存贷款利率!G1</f>
        <v>4.7500000000000001E-2</v>
      </c>
      <c r="C40" s="1760" t="s">
        <v>2046</v>
      </c>
      <c r="D40" s="1578"/>
      <c r="E40" s="2272"/>
      <c r="F40" s="2271"/>
      <c r="G40" s="2271"/>
      <c r="H40" s="2271"/>
      <c r="I40" s="2271"/>
      <c r="J40" s="2271"/>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2047</v>
      </c>
      <c r="B41" s="124">
        <f>B42+B43</f>
        <v>5.5000000000000007E-2</v>
      </c>
      <c r="C41" s="1761"/>
      <c r="D41" s="1578"/>
      <c r="E41" s="2272"/>
      <c r="F41" s="2271"/>
      <c r="G41" s="2271"/>
      <c r="H41" s="2271"/>
      <c r="I41" s="2271"/>
      <c r="J41" s="2271"/>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2048</v>
      </c>
      <c r="B42" s="125">
        <v>0.05</v>
      </c>
      <c r="C42" s="2325">
        <f>IF(B2&lt;DATE(2016,5,1),0,B42)</f>
        <v>0.05</v>
      </c>
      <c r="D42" s="2272"/>
      <c r="E42" s="2271"/>
      <c r="F42" s="2271"/>
      <c r="G42" s="2271"/>
      <c r="H42" s="2271"/>
      <c r="I42" s="2271"/>
      <c r="J42" s="2271"/>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2049</v>
      </c>
      <c r="B43" s="126">
        <f>B42*(B44+B45+B46)+B47</f>
        <v>5.000000000000001E-3</v>
      </c>
      <c r="C43" s="1761"/>
      <c r="D43" s="2272"/>
      <c r="E43" s="2271"/>
      <c r="F43" s="2271"/>
      <c r="G43" s="2271"/>
      <c r="H43" s="2271"/>
      <c r="I43" s="2271"/>
      <c r="J43" s="2271"/>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2050</v>
      </c>
      <c r="B44" s="127">
        <v>0.05</v>
      </c>
      <c r="C44" s="1760" t="s">
        <v>2051</v>
      </c>
      <c r="D44" s="2272"/>
      <c r="E44" s="2271"/>
      <c r="F44" s="2271"/>
      <c r="G44" s="2271"/>
      <c r="H44" s="2271"/>
      <c r="I44" s="2271"/>
      <c r="J44" s="2271"/>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2052</v>
      </c>
      <c r="B45" s="125">
        <v>0.03</v>
      </c>
      <c r="C45" s="1761" t="s">
        <v>2053</v>
      </c>
      <c r="D45" s="2272"/>
      <c r="E45" s="2271"/>
      <c r="F45" s="2271"/>
      <c r="G45" s="2271"/>
      <c r="H45" s="2271"/>
      <c r="I45" s="2271"/>
      <c r="J45" s="2271"/>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2054</v>
      </c>
      <c r="B46" s="125">
        <v>0.02</v>
      </c>
      <c r="C46" s="1761" t="s">
        <v>2055</v>
      </c>
      <c r="D46" s="2272"/>
      <c r="E46" s="2271"/>
      <c r="F46" s="2271"/>
      <c r="G46" s="2271"/>
      <c r="H46" s="2271"/>
      <c r="I46" s="2271"/>
      <c r="J46" s="2271"/>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2056</v>
      </c>
      <c r="B47" s="128"/>
      <c r="C47" s="1761" t="s">
        <v>2057</v>
      </c>
      <c r="D47" s="2272"/>
      <c r="E47" s="2271"/>
      <c r="F47" s="2271"/>
      <c r="G47" s="2271"/>
      <c r="H47" s="2271"/>
      <c r="I47" s="2271"/>
      <c r="J47" s="2271"/>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2058</v>
      </c>
      <c r="B48" s="129">
        <v>0.03</v>
      </c>
      <c r="C48" s="1768" t="s">
        <v>2059</v>
      </c>
      <c r="D48" s="2272"/>
      <c r="E48" s="2271"/>
      <c r="F48" s="2271"/>
      <c r="G48" s="2271"/>
      <c r="H48" s="2271"/>
      <c r="I48" s="2271"/>
      <c r="J48" s="2271"/>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2060</v>
      </c>
      <c r="B49" s="125">
        <v>5.0000000000000001E-4</v>
      </c>
      <c r="C49" s="1768" t="s">
        <v>2061</v>
      </c>
      <c r="D49" s="2272"/>
      <c r="E49" s="2271"/>
      <c r="F49" s="2271"/>
      <c r="G49" s="2271"/>
      <c r="H49" s="2271"/>
      <c r="I49" s="2271"/>
      <c r="J49" s="2271"/>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2062</v>
      </c>
      <c r="B50" s="130">
        <v>1.2E-2</v>
      </c>
      <c r="C50" s="1424"/>
      <c r="D50" s="2272"/>
      <c r="E50" s="2271"/>
      <c r="F50" s="2271"/>
      <c r="G50" s="2271"/>
      <c r="H50" s="2271"/>
      <c r="I50" s="2271"/>
      <c r="J50" s="2271"/>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2063</v>
      </c>
      <c r="B51" s="131">
        <v>0.12</v>
      </c>
      <c r="C51" s="1424"/>
      <c r="D51" s="2272"/>
      <c r="E51" s="2271"/>
      <c r="F51" s="2271"/>
      <c r="G51" s="2271"/>
      <c r="H51" s="2271"/>
      <c r="I51" s="2271"/>
      <c r="J51" s="2271"/>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2064</v>
      </c>
      <c r="B52" s="132">
        <f>SUMIF(A54:A63,B53,B54:B63)</f>
        <v>3</v>
      </c>
      <c r="C52" s="1424"/>
      <c r="D52" s="2272"/>
      <c r="E52" s="2271"/>
      <c r="F52" s="2271"/>
      <c r="G52" s="2271"/>
      <c r="H52" s="2271"/>
      <c r="I52" s="2271"/>
      <c r="J52" s="2271"/>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2065</v>
      </c>
      <c r="B53" s="2330" t="s">
        <v>523</v>
      </c>
      <c r="C53" s="1424" t="s">
        <v>2066</v>
      </c>
      <c r="D53" s="2331" t="s">
        <v>2067</v>
      </c>
      <c r="E53" s="2271"/>
      <c r="F53" s="2271"/>
      <c r="G53" s="2271"/>
      <c r="H53" s="2271"/>
      <c r="I53" s="2271"/>
      <c r="J53" s="2271"/>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2068</v>
      </c>
      <c r="B54" s="84"/>
      <c r="C54" s="1424">
        <v>30</v>
      </c>
      <c r="D54" s="2272"/>
      <c r="E54" s="2271"/>
      <c r="F54" s="2271"/>
      <c r="G54" s="2271"/>
      <c r="H54" s="2271"/>
      <c r="I54" s="2271"/>
      <c r="J54" s="2271"/>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2069</v>
      </c>
      <c r="B55" s="84"/>
      <c r="C55" s="1424">
        <v>24</v>
      </c>
      <c r="D55" s="2272"/>
      <c r="E55" s="2271"/>
      <c r="F55" s="2271"/>
      <c r="G55" s="2271"/>
      <c r="H55" s="2271"/>
      <c r="I55" s="2333"/>
      <c r="J55" s="2271"/>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2070</v>
      </c>
      <c r="B56" s="84"/>
      <c r="C56" s="1424">
        <v>18</v>
      </c>
      <c r="D56" s="2272"/>
      <c r="E56" s="2271"/>
      <c r="F56" s="2271"/>
      <c r="G56" s="2271"/>
      <c r="H56" s="2271"/>
      <c r="I56" s="2271"/>
      <c r="J56" s="2271"/>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2071</v>
      </c>
      <c r="B57" s="84"/>
      <c r="C57" s="1424">
        <v>12</v>
      </c>
      <c r="D57" s="2272"/>
      <c r="E57" s="2271"/>
      <c r="F57" s="2271"/>
      <c r="G57" s="2271"/>
      <c r="H57" s="2271"/>
      <c r="I57" s="2271"/>
      <c r="J57" s="2271"/>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2072</v>
      </c>
      <c r="B58" s="84">
        <v>3</v>
      </c>
      <c r="C58" s="1424">
        <v>3</v>
      </c>
      <c r="D58" s="2272"/>
      <c r="E58" s="2271"/>
      <c r="F58" s="2271"/>
      <c r="G58" s="2271"/>
      <c r="H58" s="2271"/>
      <c r="I58" s="2271"/>
      <c r="J58" s="2271"/>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2073</v>
      </c>
      <c r="B59" s="84"/>
      <c r="C59" s="1424">
        <v>1.5</v>
      </c>
      <c r="D59" s="2272"/>
      <c r="E59" s="2271"/>
      <c r="F59" s="2271"/>
      <c r="G59" s="2271"/>
      <c r="H59" s="2271"/>
      <c r="I59" s="2271"/>
      <c r="J59" s="2271"/>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2074</v>
      </c>
      <c r="B60" s="84"/>
      <c r="C60" s="2271"/>
      <c r="D60" s="2272"/>
      <c r="E60" s="2271"/>
      <c r="F60" s="2271"/>
      <c r="G60" s="2271"/>
      <c r="H60" s="2271"/>
      <c r="I60" s="2271"/>
      <c r="J60" s="2271"/>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2075</v>
      </c>
      <c r="B61" s="84"/>
      <c r="C61" s="2271"/>
      <c r="D61" s="2272"/>
      <c r="E61" s="2271"/>
      <c r="F61" s="2271"/>
      <c r="G61" s="2271"/>
      <c r="H61" s="2271"/>
      <c r="I61" s="2271"/>
      <c r="J61" s="2271"/>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2076</v>
      </c>
      <c r="B62" s="84"/>
      <c r="C62" s="2271"/>
      <c r="D62" s="2272"/>
      <c r="E62" s="2271"/>
      <c r="F62" s="2271"/>
      <c r="G62" s="2271"/>
      <c r="H62" s="2271"/>
      <c r="I62" s="2271"/>
      <c r="J62" s="2271"/>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2077</v>
      </c>
      <c r="B63" s="133"/>
      <c r="C63" s="2271"/>
      <c r="D63" s="2272"/>
      <c r="E63" s="2271"/>
      <c r="F63" s="2271"/>
      <c r="G63" s="2271"/>
      <c r="H63" s="2271"/>
      <c r="I63" s="2271"/>
      <c r="J63" s="2271"/>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6"/>
      <c r="L64" s="796"/>
    </row>
    <row r="65" spans="1:12" s="961" customFormat="1">
      <c r="A65" s="2335"/>
      <c r="D65" s="2336"/>
      <c r="K65" s="796"/>
      <c r="L65" s="796"/>
    </row>
    <row r="66" spans="1:12" s="961" customFormat="1">
      <c r="A66" s="2335"/>
      <c r="D66" s="2336"/>
      <c r="K66" s="796"/>
      <c r="L66" s="796"/>
    </row>
    <row r="67" spans="1:12" s="961" customFormat="1">
      <c r="A67" s="2335"/>
      <c r="D67" s="2336"/>
      <c r="K67" s="796"/>
      <c r="L67" s="796"/>
    </row>
    <row r="68" spans="1:12" s="961" customFormat="1">
      <c r="A68" s="2335"/>
      <c r="D68" s="2336"/>
      <c r="K68" s="796"/>
      <c r="L68" s="796"/>
    </row>
    <row r="69" spans="1:12" s="961" customFormat="1">
      <c r="A69" s="2335"/>
      <c r="D69" s="2336"/>
      <c r="K69" s="796"/>
      <c r="L69" s="796"/>
    </row>
    <row r="70" spans="1:12" s="961" customFormat="1">
      <c r="A70" s="2335"/>
      <c r="D70" s="2336"/>
      <c r="K70" s="796"/>
      <c r="L70" s="796"/>
    </row>
    <row r="71" spans="1:12" s="961" customFormat="1">
      <c r="A71" s="2335"/>
      <c r="D71" s="2336"/>
      <c r="K71" s="796"/>
      <c r="L71" s="796"/>
    </row>
    <row r="72" spans="1:12" s="961" customFormat="1">
      <c r="A72" s="2335"/>
      <c r="D72" s="2336"/>
      <c r="K72" s="796"/>
      <c r="L72" s="796"/>
    </row>
    <row r="73" spans="1:12" s="961" customFormat="1">
      <c r="A73" s="2335"/>
      <c r="D73" s="2336"/>
      <c r="K73" s="796"/>
      <c r="L73" s="796"/>
    </row>
    <row r="74" spans="1:12" s="961" customFormat="1">
      <c r="A74" s="2335"/>
      <c r="D74" s="2336"/>
      <c r="K74" s="796"/>
      <c r="L74" s="796"/>
    </row>
    <row r="75" spans="1:12" s="961" customFormat="1">
      <c r="A75" s="2335"/>
      <c r="D75" s="2336"/>
      <c r="K75" s="796"/>
      <c r="L75" s="796"/>
    </row>
    <row r="76" spans="1:12" s="961" customFormat="1">
      <c r="A76" s="2335"/>
      <c r="D76" s="2336"/>
      <c r="K76" s="796"/>
      <c r="L76" s="796"/>
    </row>
    <row r="77" spans="1:12" s="961" customFormat="1">
      <c r="A77" s="2335"/>
      <c r="D77" s="2336"/>
      <c r="K77" s="796"/>
      <c r="L77" s="796"/>
    </row>
    <row r="78" spans="1:12" s="961" customFormat="1">
      <c r="A78" s="2335"/>
      <c r="D78" s="2336"/>
      <c r="K78" s="796"/>
      <c r="L78" s="796"/>
    </row>
    <row r="79" spans="1:12" s="961" customFormat="1">
      <c r="A79" s="2335"/>
      <c r="D79" s="2336"/>
      <c r="K79" s="796"/>
      <c r="L79" s="796"/>
    </row>
    <row r="80" spans="1:12" s="961" customFormat="1">
      <c r="A80" s="2335"/>
      <c r="D80" s="2336"/>
      <c r="K80" s="796"/>
      <c r="L80" s="796"/>
    </row>
    <row r="81" spans="1:12" s="961" customFormat="1">
      <c r="A81" s="2335"/>
      <c r="D81" s="2336"/>
      <c r="K81" s="796"/>
      <c r="L81" s="796"/>
    </row>
    <row r="82" spans="1:12" s="961" customFormat="1">
      <c r="A82" s="2335"/>
      <c r="D82" s="2336"/>
      <c r="K82" s="796"/>
      <c r="L82" s="796"/>
    </row>
    <row r="83" spans="1:12" s="961" customFormat="1">
      <c r="A83" s="2335"/>
      <c r="D83" s="2336"/>
      <c r="K83" s="796"/>
      <c r="L83" s="796"/>
    </row>
    <row r="84" spans="1:12" s="961" customFormat="1">
      <c r="A84" s="2335"/>
      <c r="D84" s="2336"/>
      <c r="K84" s="796"/>
      <c r="L84" s="796"/>
    </row>
    <row r="85" spans="1:12" s="961" customFormat="1">
      <c r="A85" s="2335"/>
      <c r="D85" s="2336"/>
      <c r="K85" s="796"/>
      <c r="L85" s="796"/>
    </row>
    <row r="86" spans="1:12" s="961" customFormat="1">
      <c r="A86" s="2335"/>
      <c r="D86" s="2336"/>
      <c r="K86" s="796"/>
      <c r="L86" s="796"/>
    </row>
    <row r="87" spans="1:12" s="961" customFormat="1">
      <c r="A87" s="2335"/>
      <c r="D87" s="2336"/>
      <c r="K87" s="796"/>
      <c r="L87" s="796"/>
    </row>
    <row r="88" spans="1:12" s="961" customFormat="1">
      <c r="A88" s="2335"/>
      <c r="D88" s="2336"/>
      <c r="K88" s="796"/>
      <c r="L88" s="796"/>
    </row>
    <row r="89" spans="1:12" s="961" customFormat="1">
      <c r="A89" s="2335"/>
      <c r="D89" s="2336"/>
      <c r="K89" s="796"/>
      <c r="L89" s="796"/>
    </row>
    <row r="90" spans="1:12" s="961" customFormat="1">
      <c r="A90" s="2335"/>
      <c r="D90" s="2336"/>
      <c r="K90" s="796"/>
      <c r="L90" s="796"/>
    </row>
    <row r="91" spans="1:12" s="961" customFormat="1">
      <c r="A91" s="2335"/>
      <c r="D91" s="2336"/>
      <c r="K91" s="796"/>
      <c r="L91" s="796"/>
    </row>
    <row r="92" spans="1:12" s="961" customFormat="1">
      <c r="A92" s="2335"/>
      <c r="D92" s="2336"/>
      <c r="K92" s="796"/>
      <c r="L92" s="796"/>
    </row>
    <row r="93" spans="1:12" s="961" customFormat="1">
      <c r="A93" s="2335"/>
      <c r="D93" s="2336"/>
      <c r="K93" s="796"/>
      <c r="L93" s="796"/>
    </row>
    <row r="94" spans="1:12" s="961" customFormat="1">
      <c r="A94" s="2335"/>
      <c r="D94" s="2336"/>
      <c r="K94" s="796"/>
      <c r="L94" s="796"/>
    </row>
    <row r="95" spans="1:12" s="961" customFormat="1">
      <c r="A95" s="2335"/>
      <c r="D95" s="2336"/>
      <c r="K95" s="796"/>
      <c r="L95" s="796"/>
    </row>
    <row r="96" spans="1:12" s="961" customFormat="1">
      <c r="A96" s="2335"/>
      <c r="D96" s="2336"/>
      <c r="K96" s="796"/>
      <c r="L96" s="796"/>
    </row>
    <row r="97" spans="1:12" s="961" customFormat="1">
      <c r="A97" s="2335"/>
      <c r="D97" s="2336"/>
      <c r="K97" s="796"/>
      <c r="L97" s="796"/>
    </row>
    <row r="98" spans="1:12" s="961" customFormat="1">
      <c r="A98" s="2335"/>
      <c r="D98" s="2336"/>
      <c r="K98" s="796"/>
      <c r="L98" s="796"/>
    </row>
    <row r="99" spans="1:12" s="961" customFormat="1">
      <c r="A99" s="2335"/>
      <c r="D99" s="2336"/>
      <c r="K99" s="796"/>
      <c r="L99" s="796"/>
    </row>
    <row r="100" spans="1:12" s="961" customFormat="1">
      <c r="A100" s="2335"/>
      <c r="D100" s="2336"/>
      <c r="K100" s="796"/>
      <c r="L100" s="796"/>
    </row>
    <row r="101" spans="1:12" s="961" customFormat="1">
      <c r="A101" s="2335"/>
      <c r="D101" s="2336"/>
      <c r="K101" s="796"/>
      <c r="L101" s="796"/>
    </row>
    <row r="102" spans="1:12" s="961" customFormat="1">
      <c r="A102" s="2335"/>
      <c r="D102" s="2336"/>
      <c r="K102" s="796"/>
      <c r="L102" s="796"/>
    </row>
    <row r="103" spans="1:12" s="961" customFormat="1">
      <c r="A103" s="2335"/>
      <c r="D103" s="2336"/>
      <c r="K103" s="796"/>
      <c r="L103" s="796"/>
    </row>
    <row r="104" spans="1:12" s="961" customFormat="1">
      <c r="A104" s="2335"/>
      <c r="D104" s="2336"/>
      <c r="K104" s="796"/>
      <c r="L104" s="796"/>
    </row>
    <row r="105" spans="1:12" s="961" customFormat="1">
      <c r="A105" s="2335"/>
      <c r="D105" s="2336"/>
      <c r="K105" s="796"/>
      <c r="L105" s="796"/>
    </row>
    <row r="106" spans="1:12" s="961" customFormat="1">
      <c r="A106" s="2335"/>
      <c r="D106" s="2336"/>
      <c r="K106" s="796"/>
      <c r="L106" s="796"/>
    </row>
    <row r="107" spans="1:12" s="961" customFormat="1">
      <c r="A107" s="2335"/>
      <c r="D107" s="2336"/>
      <c r="K107" s="796"/>
      <c r="L107" s="796"/>
    </row>
    <row r="108" spans="1:12" s="961" customFormat="1">
      <c r="A108" s="2335"/>
      <c r="D108" s="2336"/>
      <c r="K108" s="796"/>
      <c r="L108" s="796"/>
    </row>
    <row r="109" spans="1:12" s="961" customFormat="1">
      <c r="A109" s="2335"/>
      <c r="D109" s="2336"/>
      <c r="K109" s="796"/>
      <c r="L109" s="796"/>
    </row>
    <row r="110" spans="1:12" s="961" customFormat="1">
      <c r="A110" s="2335"/>
      <c r="D110" s="2336"/>
      <c r="K110" s="796"/>
      <c r="L110" s="796"/>
    </row>
    <row r="111" spans="1:12" s="961" customFormat="1">
      <c r="A111" s="2335"/>
      <c r="D111" s="2336"/>
      <c r="K111" s="796"/>
      <c r="L111" s="796"/>
    </row>
    <row r="112" spans="1:12" s="961" customFormat="1">
      <c r="A112" s="2335"/>
      <c r="D112" s="2336"/>
      <c r="K112" s="796"/>
      <c r="L112" s="796"/>
    </row>
    <row r="113" spans="1:12" s="961" customFormat="1">
      <c r="A113" s="2335"/>
      <c r="D113" s="2336"/>
      <c r="K113" s="796"/>
      <c r="L113" s="796"/>
    </row>
    <row r="114" spans="1:12" s="961" customFormat="1">
      <c r="A114" s="2335"/>
      <c r="D114" s="2336"/>
      <c r="K114" s="796"/>
      <c r="L114" s="796"/>
    </row>
    <row r="115" spans="1:12" s="961" customFormat="1">
      <c r="A115" s="2335"/>
      <c r="D115" s="2336"/>
      <c r="K115" s="796"/>
      <c r="L115" s="796"/>
    </row>
    <row r="116" spans="1:12" s="961" customFormat="1">
      <c r="A116" s="2335"/>
      <c r="D116" s="2336"/>
      <c r="K116" s="796"/>
      <c r="L116" s="796"/>
    </row>
    <row r="117" spans="1:12" s="961" customFormat="1">
      <c r="A117" s="2335"/>
      <c r="D117" s="2336"/>
      <c r="K117" s="796"/>
      <c r="L117" s="796"/>
    </row>
    <row r="118" spans="1:12" s="961" customFormat="1">
      <c r="A118" s="2335"/>
      <c r="D118" s="2336"/>
      <c r="K118" s="796"/>
      <c r="L118" s="796"/>
    </row>
    <row r="119" spans="1:12" s="961" customFormat="1">
      <c r="A119" s="2335"/>
      <c r="D119" s="2336"/>
      <c r="K119" s="796"/>
      <c r="L119" s="796"/>
    </row>
    <row r="120" spans="1:12" s="961" customFormat="1">
      <c r="A120" s="2335"/>
      <c r="D120" s="2336"/>
      <c r="K120" s="796"/>
      <c r="L120" s="796"/>
    </row>
    <row r="121" spans="1:12" s="961" customFormat="1">
      <c r="A121" s="2335"/>
      <c r="D121" s="2336"/>
      <c r="K121" s="796"/>
      <c r="L121" s="796"/>
    </row>
    <row r="122" spans="1:12" s="961" customFormat="1">
      <c r="A122" s="2335"/>
      <c r="D122" s="2336"/>
      <c r="K122" s="796"/>
      <c r="L122" s="796"/>
    </row>
    <row r="123" spans="1:12" s="961" customFormat="1">
      <c r="A123" s="2335"/>
      <c r="D123" s="2336"/>
      <c r="K123" s="796"/>
      <c r="L123" s="796"/>
    </row>
    <row r="124" spans="1:12" s="961" customFormat="1">
      <c r="A124" s="2335"/>
      <c r="D124" s="2336"/>
      <c r="K124" s="796"/>
      <c r="L124" s="796"/>
    </row>
    <row r="125" spans="1:12" s="961" customFormat="1">
      <c r="A125" s="2335"/>
      <c r="D125" s="2336"/>
      <c r="K125" s="796"/>
      <c r="L125" s="796"/>
    </row>
    <row r="126" spans="1:12" s="961" customFormat="1">
      <c r="A126" s="2335"/>
      <c r="D126" s="2336"/>
      <c r="K126" s="796"/>
      <c r="L126" s="796"/>
    </row>
    <row r="127" spans="1:12" s="961" customFormat="1">
      <c r="A127" s="2335"/>
      <c r="D127" s="2336"/>
      <c r="K127" s="796"/>
      <c r="L127" s="796"/>
    </row>
    <row r="128" spans="1:12" s="961" customFormat="1">
      <c r="A128" s="2335"/>
      <c r="D128" s="2336"/>
      <c r="K128" s="796"/>
      <c r="L128" s="796"/>
    </row>
    <row r="129" spans="1:12" s="961" customFormat="1">
      <c r="A129" s="2335"/>
      <c r="D129" s="2336"/>
      <c r="K129" s="796"/>
      <c r="L129" s="796"/>
    </row>
    <row r="130" spans="1:12" s="961" customFormat="1">
      <c r="A130" s="2335"/>
      <c r="D130" s="2336"/>
      <c r="K130" s="796"/>
      <c r="L130" s="796"/>
    </row>
    <row r="131" spans="1:12" s="961" customFormat="1">
      <c r="A131" s="2335"/>
      <c r="D131" s="2336"/>
      <c r="K131" s="796"/>
      <c r="L131" s="796"/>
    </row>
    <row r="132" spans="1:12" s="961" customFormat="1">
      <c r="A132" s="2335"/>
      <c r="D132" s="2336"/>
      <c r="K132" s="796"/>
      <c r="L132" s="796"/>
    </row>
    <row r="133" spans="1:12" s="961"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2" sqref="E12"/>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5" t="s">
        <v>2078</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4" t="s">
        <v>2081</v>
      </c>
      <c r="B3" s="1265" t="s">
        <v>2082</v>
      </c>
      <c r="C3" s="2364" t="s">
        <v>2083</v>
      </c>
      <c r="D3" s="2365"/>
      <c r="E3" s="430" t="s">
        <v>2081</v>
      </c>
      <c r="F3" s="2366" t="s">
        <v>2084</v>
      </c>
      <c r="G3" s="2367" t="s">
        <v>2085</v>
      </c>
      <c r="H3" s="2362"/>
      <c r="I3" s="2362"/>
      <c r="J3" s="2362"/>
      <c r="K3" s="2362"/>
      <c r="L3" s="2362"/>
      <c r="M3" s="2362"/>
      <c r="N3" s="2362"/>
      <c r="O3" s="2362"/>
      <c r="P3" s="2362"/>
      <c r="Q3" s="2362"/>
      <c r="R3" s="2362"/>
    </row>
    <row r="4" spans="1:29" ht="41.25">
      <c r="A4" s="430"/>
      <c r="B4" s="1792" t="s">
        <v>2086</v>
      </c>
      <c r="C4" s="2368" t="s">
        <v>2087</v>
      </c>
      <c r="D4" s="2365"/>
      <c r="E4" s="2369"/>
      <c r="F4" s="42" t="s">
        <v>2088</v>
      </c>
      <c r="G4" s="2370" t="s">
        <v>2089</v>
      </c>
      <c r="H4" s="2362"/>
      <c r="I4" s="2362"/>
      <c r="J4" s="2362"/>
      <c r="K4" s="2362"/>
      <c r="L4" s="2362"/>
      <c r="M4" s="2362"/>
      <c r="N4" s="2362"/>
      <c r="O4" s="2362"/>
      <c r="P4" s="2362"/>
      <c r="Q4" s="2362"/>
      <c r="R4" s="2362"/>
    </row>
    <row r="5" spans="1:29" ht="41.25">
      <c r="A5" s="430"/>
      <c r="B5" s="1792" t="s">
        <v>2090</v>
      </c>
      <c r="C5" s="2368" t="s">
        <v>2091</v>
      </c>
      <c r="D5" s="2365"/>
      <c r="E5" s="2369"/>
      <c r="F5" s="1792" t="s">
        <v>2092</v>
      </c>
      <c r="G5" s="2370" t="s">
        <v>2093</v>
      </c>
      <c r="H5" s="2362"/>
      <c r="I5" s="2362"/>
      <c r="J5" s="2362"/>
      <c r="K5" s="2362"/>
      <c r="L5" s="2362"/>
      <c r="M5" s="2362"/>
      <c r="N5" s="2362"/>
      <c r="O5" s="2362"/>
      <c r="P5" s="2362"/>
      <c r="Q5" s="2362"/>
      <c r="R5" s="2362"/>
    </row>
    <row r="6" spans="1:29" ht="54">
      <c r="A6" s="430"/>
      <c r="B6" s="1792" t="s">
        <v>2094</v>
      </c>
      <c r="C6" s="2370" t="s">
        <v>2089</v>
      </c>
      <c r="D6" s="2365"/>
      <c r="E6" s="2369"/>
      <c r="F6" s="1792" t="s">
        <v>2095</v>
      </c>
      <c r="G6" s="2370" t="s">
        <v>2096</v>
      </c>
      <c r="H6" s="2362"/>
      <c r="I6" s="2362"/>
      <c r="J6" s="2362"/>
      <c r="K6" s="2362"/>
      <c r="L6" s="2362"/>
      <c r="M6" s="2362"/>
      <c r="N6" s="2362"/>
      <c r="O6" s="2362"/>
      <c r="P6" s="2362"/>
      <c r="Q6" s="2362"/>
      <c r="R6" s="2362"/>
    </row>
    <row r="7" spans="1:29" ht="41.25" thickBot="1">
      <c r="A7" s="430"/>
      <c r="B7" s="1792" t="s">
        <v>2092</v>
      </c>
      <c r="C7" s="2370" t="s">
        <v>2093</v>
      </c>
      <c r="D7" s="2371"/>
      <c r="E7" s="2372"/>
      <c r="F7" s="2373" t="s">
        <v>2097</v>
      </c>
      <c r="G7" s="2374" t="s">
        <v>2098</v>
      </c>
      <c r="H7" s="2362"/>
      <c r="I7" s="2362"/>
      <c r="J7" s="2362"/>
      <c r="K7" s="2362"/>
      <c r="L7" s="2362"/>
      <c r="M7" s="2362"/>
      <c r="N7" s="2362"/>
      <c r="O7" s="2362"/>
      <c r="P7" s="2362"/>
      <c r="Q7" s="2362"/>
      <c r="R7" s="2362"/>
    </row>
    <row r="8" spans="1:29" ht="27">
      <c r="A8" s="430"/>
      <c r="B8" s="1792" t="s">
        <v>2095</v>
      </c>
      <c r="C8" s="2370" t="s">
        <v>2096</v>
      </c>
      <c r="D8" s="2371"/>
      <c r="E8" s="2371"/>
      <c r="F8" s="1130"/>
      <c r="G8" s="1130"/>
      <c r="H8" s="2362"/>
      <c r="I8" s="2362"/>
      <c r="J8" s="2362"/>
      <c r="K8" s="2362"/>
      <c r="L8" s="2362"/>
      <c r="M8" s="2362"/>
      <c r="N8" s="2362"/>
      <c r="O8" s="2362"/>
      <c r="P8" s="2362"/>
      <c r="Q8" s="2362"/>
      <c r="R8" s="2362"/>
    </row>
    <row r="9" spans="1:29" ht="27">
      <c r="A9" s="430"/>
      <c r="B9" s="1792" t="s">
        <v>2099</v>
      </c>
      <c r="C9" s="2368" t="s">
        <v>2100</v>
      </c>
      <c r="D9" s="2365"/>
      <c r="E9" s="2371"/>
      <c r="F9" s="1130"/>
      <c r="G9" s="1130"/>
      <c r="H9" s="2362"/>
      <c r="I9" s="2362"/>
      <c r="J9" s="2362"/>
      <c r="K9" s="2362"/>
      <c r="L9" s="2362"/>
      <c r="M9" s="2362"/>
      <c r="N9" s="2362"/>
      <c r="O9" s="2362"/>
      <c r="P9" s="2362"/>
      <c r="Q9" s="2362"/>
      <c r="R9" s="2362"/>
    </row>
    <row r="10" spans="1:29" s="117" customFormat="1" ht="15.75" thickBot="1">
      <c r="A10" s="2375"/>
      <c r="B10" s="2376" t="s">
        <v>2101</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4" t="s">
        <v>2082</v>
      </c>
      <c r="C15" s="2397" t="str">
        <f>C3</f>
        <v>估价对象周边居住用地比例、居住小区规模和社区发展完善程度，综合评价居住社区成熟度一般</v>
      </c>
      <c r="D15" s="2365"/>
      <c r="E15" s="2398" t="s">
        <v>2106</v>
      </c>
      <c r="F15" s="1264" t="s">
        <v>2107</v>
      </c>
      <c r="G15" s="134" t="str">
        <f>G3</f>
        <v>估价对象位于XX开发区，园区建设成熟度XX，产业集聚程度XX</v>
      </c>
    </row>
    <row r="16" spans="1:29" ht="42.75">
      <c r="A16" s="644"/>
      <c r="B16" s="2399" t="s">
        <v>2086</v>
      </c>
      <c r="C16" s="2400" t="str">
        <f>C4</f>
        <v>估价对象位于XX商圈，周边商业氛围成熟，人流量大，商业繁华度好</v>
      </c>
      <c r="D16" s="2365"/>
      <c r="E16" s="2401"/>
      <c r="F16" s="2402" t="s">
        <v>2088</v>
      </c>
      <c r="G16" s="135" t="str">
        <f>G4</f>
        <v>估价对象周边道路状况、公共交通通达情况、停车便捷程度，综合评价交通便捷度较好</v>
      </c>
    </row>
    <row r="17" spans="1:18" ht="42.75">
      <c r="A17" s="644"/>
      <c r="B17" s="2399" t="s">
        <v>2090</v>
      </c>
      <c r="C17" s="2400" t="str">
        <f>C5</f>
        <v>估价对象位于XX商圈，周边办公楼项目较多，入驻率高，办公集聚程度较好</v>
      </c>
      <c r="D17" s="2371"/>
      <c r="E17" s="2401"/>
      <c r="F17" s="2402" t="s">
        <v>2108</v>
      </c>
      <c r="G17" s="1566"/>
    </row>
    <row r="18" spans="1:18" ht="57">
      <c r="A18" s="644"/>
      <c r="B18" s="2402" t="s">
        <v>2094</v>
      </c>
      <c r="C18" s="135" t="str">
        <f>C6</f>
        <v>估价对象周边道路状况、公共交通通达情况、停车便捷程度，综合评价交通便捷度较好</v>
      </c>
      <c r="D18" s="2371"/>
      <c r="E18" s="2401"/>
      <c r="F18" s="2402" t="s">
        <v>2097</v>
      </c>
      <c r="G18" s="135" t="str">
        <f>G7</f>
        <v>该园区内是否有污染型企业，绿化情况，卫生条件，整体环境状况判断</v>
      </c>
    </row>
    <row r="19" spans="1:18" ht="28.5">
      <c r="A19" s="644"/>
      <c r="B19" s="2402" t="s">
        <v>2109</v>
      </c>
      <c r="C19" s="1566"/>
      <c r="D19" s="2365"/>
      <c r="E19" s="2401"/>
      <c r="F19" s="1792" t="s">
        <v>2092</v>
      </c>
      <c r="G19" s="135" t="str">
        <f>G5</f>
        <v>估价对象所在区域公共配套设施齐备情况</v>
      </c>
    </row>
    <row r="20" spans="1:18" ht="28.5">
      <c r="A20" s="644"/>
      <c r="B20" s="2402" t="s">
        <v>2110</v>
      </c>
      <c r="C20" s="2400" t="str">
        <f>C9</f>
        <v>区域自然环境：；人文环境；综合评价环境状况一般</v>
      </c>
      <c r="D20" s="2371"/>
      <c r="E20" s="2401"/>
      <c r="F20" s="1792" t="s">
        <v>2111</v>
      </c>
      <c r="G20" s="135" t="str">
        <f>G6</f>
        <v>估价对象所在区域基础设施水平</v>
      </c>
    </row>
    <row r="21" spans="1:18" ht="28.5">
      <c r="A21" s="644"/>
      <c r="B21" s="1792" t="s">
        <v>2092</v>
      </c>
      <c r="C21" s="135" t="str">
        <f>C7</f>
        <v>估价对象所在区域公共配套设施齐备情况</v>
      </c>
      <c r="D21" s="2365"/>
      <c r="E21" s="2401"/>
      <c r="F21" s="2402" t="s">
        <v>2112</v>
      </c>
      <c r="G21" s="2403"/>
    </row>
    <row r="22" spans="1:18" ht="13.5" customHeight="1">
      <c r="A22" s="644"/>
      <c r="B22" s="1792" t="s">
        <v>2095</v>
      </c>
      <c r="C22" s="135" t="str">
        <f>C8</f>
        <v>估价对象所在区域基础设施水平</v>
      </c>
      <c r="D22" s="2365"/>
      <c r="E22" s="2401"/>
      <c r="F22" s="2402" t="s">
        <v>2101</v>
      </c>
      <c r="G22" s="1566"/>
    </row>
    <row r="23" spans="1:18" s="2362" customFormat="1" ht="15.75" thickBot="1">
      <c r="A23" s="644"/>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48967.92</v>
      </c>
      <c r="C1" s="1739"/>
      <c r="D1" s="1739"/>
      <c r="E1" s="1739"/>
      <c r="F1" s="1739"/>
      <c r="G1" s="1737"/>
    </row>
    <row r="2" spans="1:10" ht="16.5">
      <c r="A2" s="1740" t="s">
        <v>1349</v>
      </c>
      <c r="B2" s="1740">
        <f>SUM(C14:C23)</f>
        <v>8969.4599999999991</v>
      </c>
      <c r="C2" s="1739"/>
      <c r="D2" s="1739"/>
      <c r="E2" s="1739"/>
      <c r="F2" s="1739"/>
      <c r="G2" s="1737"/>
    </row>
    <row r="3" spans="1:10" ht="16.5">
      <c r="A3" s="1740" t="s">
        <v>1358</v>
      </c>
      <c r="B3" s="1741">
        <f>项目基本情况!D3</f>
        <v>43615</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126103</v>
      </c>
      <c r="C5" s="1740">
        <f ca="1">ROUND(B5*10000/$B$1,0)</f>
        <v>25752</v>
      </c>
      <c r="D5" s="1740">
        <f ca="1">ROUND(B5*10000/$B$2,0)</f>
        <v>140592</v>
      </c>
      <c r="E5" s="1739"/>
      <c r="F5" s="1737"/>
      <c r="G5" s="1737"/>
    </row>
    <row r="6" spans="1:10" ht="16.5">
      <c r="A6" s="1740" t="s">
        <v>1352</v>
      </c>
      <c r="B6" s="1740">
        <f ca="1">SUM(G14:G23)</f>
        <v>126103</v>
      </c>
      <c r="C6" s="1740">
        <f ca="1">ROUND(B6*10000/$B$1,0)</f>
        <v>25752</v>
      </c>
      <c r="D6" s="1740">
        <f ca="1">ROUND(B6*10000/$B$2,0)</f>
        <v>140592</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48967.92</v>
      </c>
      <c r="C14" s="1738">
        <f>结果表!C118</f>
        <v>8969.4599999999991</v>
      </c>
      <c r="D14" s="1738">
        <f ca="1">结果表!H118</f>
        <v>126103</v>
      </c>
      <c r="E14" s="1738">
        <f ca="1">ROUND(D14*10000/B14,0)</f>
        <v>25752</v>
      </c>
      <c r="F14" s="1738">
        <f ca="1">ROUND(D14*10000/C14,0)</f>
        <v>140592</v>
      </c>
      <c r="G14" s="1738">
        <f ca="1">结果表!D122</f>
        <v>126103</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2115</v>
      </c>
      <c r="B1" s="2413"/>
      <c r="C1" s="2414"/>
      <c r="D1" s="2413"/>
      <c r="E1" s="2413"/>
      <c r="F1" s="2415" t="s">
        <v>2116</v>
      </c>
      <c r="G1" s="2065" t="s">
        <v>3118</v>
      </c>
      <c r="H1" s="2416" t="str">
        <f>IF(G1="现房","——","估价对象范围")</f>
        <v>——</v>
      </c>
      <c r="I1" s="2417"/>
    </row>
    <row r="2" spans="1:12" ht="21.75" customHeight="1" thickBot="1">
      <c r="A2" s="3100" t="str">
        <f>项目基本情况!S2</f>
        <v>北京市北京经济技术开发区荣华中路19号院2号楼-2至10层101房地产</v>
      </c>
      <c r="B2" s="3101"/>
      <c r="C2" s="3101"/>
      <c r="D2" s="3101"/>
      <c r="E2" s="3101"/>
      <c r="F2" s="3101"/>
      <c r="G2" s="3101"/>
      <c r="H2" s="3101"/>
      <c r="I2" s="3102"/>
    </row>
    <row r="3" spans="1:12" ht="12.75">
      <c r="A3" s="3104" t="s">
        <v>2117</v>
      </c>
      <c r="B3" s="3105"/>
      <c r="C3" s="3105"/>
      <c r="D3" s="3105"/>
      <c r="E3" s="3105"/>
      <c r="F3" s="3105"/>
      <c r="G3" s="3105"/>
      <c r="H3" s="3105"/>
      <c r="I3" s="3105"/>
    </row>
    <row r="4" spans="1:12" ht="14.25">
      <c r="A4" s="2420" t="s">
        <v>2118</v>
      </c>
      <c r="B4" s="2421" t="s">
        <v>2119</v>
      </c>
      <c r="C4" s="2422" t="s">
        <v>3117</v>
      </c>
      <c r="D4" s="2422" t="s">
        <v>3116</v>
      </c>
      <c r="E4" s="3097" t="s">
        <v>2120</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2121</v>
      </c>
      <c r="B5" s="3018">
        <v>25</v>
      </c>
      <c r="C5" s="3083"/>
      <c r="D5" s="3103"/>
      <c r="E5" s="139" t="s">
        <v>2122</v>
      </c>
      <c r="F5" s="2424"/>
      <c r="G5" s="2424"/>
      <c r="H5" s="2424"/>
      <c r="I5" s="1828"/>
    </row>
    <row r="6" spans="1:12" ht="12.75">
      <c r="A6" s="3080"/>
      <c r="B6" s="3018"/>
      <c r="C6" s="3084"/>
      <c r="D6" s="3103"/>
      <c r="E6" s="139" t="s">
        <v>2123</v>
      </c>
      <c r="F6" s="2424"/>
      <c r="G6" s="2424"/>
      <c r="H6" s="2424"/>
      <c r="I6" s="1828"/>
    </row>
    <row r="7" spans="1:12" ht="12.75">
      <c r="A7" s="3080"/>
      <c r="B7" s="3018"/>
      <c r="C7" s="3085"/>
      <c r="D7" s="3103"/>
      <c r="E7" s="139" t="s">
        <v>2124</v>
      </c>
      <c r="F7" s="2424"/>
      <c r="G7" s="2424"/>
      <c r="H7" s="2424"/>
      <c r="I7" s="1828"/>
    </row>
    <row r="8" spans="1:12" ht="12.75">
      <c r="A8" s="3080" t="s">
        <v>2125</v>
      </c>
      <c r="B8" s="3018">
        <v>15</v>
      </c>
      <c r="C8" s="3083"/>
      <c r="D8" s="3103"/>
      <c r="E8" s="139" t="s">
        <v>2126</v>
      </c>
      <c r="F8" s="2424"/>
      <c r="G8" s="2424"/>
      <c r="H8" s="2424"/>
      <c r="I8" s="1828"/>
    </row>
    <row r="9" spans="1:12" ht="12.75">
      <c r="A9" s="3080"/>
      <c r="B9" s="3018"/>
      <c r="C9" s="3085"/>
      <c r="D9" s="3103"/>
      <c r="E9" s="139" t="s">
        <v>2127</v>
      </c>
      <c r="F9" s="2424"/>
      <c r="G9" s="2424"/>
      <c r="H9" s="2424"/>
      <c r="I9" s="1828"/>
    </row>
    <row r="10" spans="1:12" ht="12.75">
      <c r="A10" s="3080" t="s">
        <v>2128</v>
      </c>
      <c r="B10" s="3018">
        <v>15</v>
      </c>
      <c r="C10" s="3083"/>
      <c r="D10" s="3103"/>
      <c r="E10" s="139" t="s">
        <v>2129</v>
      </c>
      <c r="F10" s="2424"/>
      <c r="G10" s="2424"/>
      <c r="H10" s="2424"/>
      <c r="I10" s="1828"/>
    </row>
    <row r="11" spans="1:12" ht="12.75">
      <c r="A11" s="3080"/>
      <c r="B11" s="3018"/>
      <c r="C11" s="3085"/>
      <c r="D11" s="3103"/>
      <c r="E11" s="139" t="s">
        <v>2130</v>
      </c>
      <c r="F11" s="2424"/>
      <c r="G11" s="2424"/>
      <c r="H11" s="2424"/>
      <c r="I11" s="1828"/>
    </row>
    <row r="12" spans="1:12" ht="12.75">
      <c r="A12" s="3080" t="s">
        <v>2131</v>
      </c>
      <c r="B12" s="3018">
        <v>15</v>
      </c>
      <c r="C12" s="3083"/>
      <c r="D12" s="3103"/>
      <c r="E12" s="139" t="s">
        <v>2132</v>
      </c>
      <c r="F12" s="2424"/>
      <c r="G12" s="2424"/>
      <c r="H12" s="2424"/>
      <c r="I12" s="1828"/>
    </row>
    <row r="13" spans="1:12" ht="12.75">
      <c r="A13" s="3080"/>
      <c r="B13" s="3018"/>
      <c r="C13" s="3085"/>
      <c r="D13" s="3103"/>
      <c r="E13" s="139" t="s">
        <v>2133</v>
      </c>
      <c r="F13" s="2424"/>
      <c r="G13" s="2424"/>
      <c r="H13" s="2424"/>
      <c r="I13" s="1828"/>
    </row>
    <row r="14" spans="1:12" ht="12.75">
      <c r="A14" s="3080" t="s">
        <v>2134</v>
      </c>
      <c r="B14" s="3018">
        <v>30</v>
      </c>
      <c r="C14" s="3083">
        <v>5</v>
      </c>
      <c r="D14" s="3103">
        <v>5</v>
      </c>
      <c r="E14" s="139" t="s">
        <v>2135</v>
      </c>
      <c r="F14" s="2424"/>
      <c r="G14" s="2424"/>
      <c r="H14" s="2424"/>
      <c r="I14" s="1828"/>
    </row>
    <row r="15" spans="1:12" ht="12.75">
      <c r="A15" s="3080"/>
      <c r="B15" s="3018"/>
      <c r="C15" s="3084"/>
      <c r="D15" s="3103"/>
      <c r="E15" s="139" t="s">
        <v>2136</v>
      </c>
      <c r="F15" s="2424"/>
      <c r="G15" s="2424"/>
      <c r="H15" s="2424"/>
      <c r="I15" s="1828"/>
    </row>
    <row r="16" spans="1:12" ht="12.75">
      <c r="A16" s="3080"/>
      <c r="B16" s="3018"/>
      <c r="C16" s="3085"/>
      <c r="D16" s="3103"/>
      <c r="E16" s="139" t="s">
        <v>2137</v>
      </c>
      <c r="F16" s="2424"/>
      <c r="G16" s="2424"/>
      <c r="H16" s="2424"/>
      <c r="I16" s="1828"/>
    </row>
    <row r="17" spans="1:35" ht="15">
      <c r="A17" s="2425" t="s">
        <v>2138</v>
      </c>
      <c r="B17" s="64"/>
      <c r="C17" s="140">
        <f>SUM(C5:C16)</f>
        <v>5</v>
      </c>
      <c r="D17" s="140">
        <f>SUM(D5:D16)</f>
        <v>5</v>
      </c>
      <c r="E17" s="137"/>
      <c r="F17" s="137"/>
      <c r="G17" s="137"/>
      <c r="H17" s="137"/>
      <c r="I17" s="137"/>
      <c r="K17" s="2423"/>
      <c r="L17" s="2426" t="s">
        <v>2139</v>
      </c>
      <c r="M17" s="2426" t="s">
        <v>2140</v>
      </c>
    </row>
    <row r="18" spans="1:35" ht="15.75" thickBot="1">
      <c r="A18" s="2427" t="s">
        <v>2141</v>
      </c>
      <c r="B18" s="2428"/>
      <c r="C18" s="141">
        <f>ROUND(C17/SUM(C17:D17),2)</f>
        <v>0.5</v>
      </c>
      <c r="D18" s="141">
        <f>1-C18</f>
        <v>0.5</v>
      </c>
      <c r="E18" s="137"/>
      <c r="F18" s="137"/>
      <c r="G18" s="137"/>
      <c r="H18" s="137"/>
      <c r="I18" s="137"/>
      <c r="K18" s="2423" t="s">
        <v>2142</v>
      </c>
      <c r="L18" s="2423">
        <f>IF(C1="",'数据-汇总表'!E3,SUMIF(项目类型,C1,'数据-汇总表'!E17:E26)+SUMIF(项目类型,C1,'数据-汇总表'!I17:I26))</f>
        <v>48967.92</v>
      </c>
      <c r="M18" s="2423">
        <f>IF(C1="",'数据-汇总表'!E3,SUMIF(项目类型,C1,'数据-汇总表'!E17:E26))</f>
        <v>48967.92</v>
      </c>
    </row>
    <row r="19" spans="1:35" ht="15">
      <c r="A19" s="2429" t="s">
        <v>2143</v>
      </c>
      <c r="B19" s="2430" t="s">
        <v>2144</v>
      </c>
      <c r="C19" s="142">
        <f ca="1">SUMIF(INDIRECT("'"&amp;C4&amp;"'"&amp;"!A:A"),结果表!B19,INDIRECT("'"&amp;C4&amp;"'"&amp;"!B:B"))</f>
        <v>112624</v>
      </c>
      <c r="D19" s="143">
        <f ca="1">SUMIF(INDIRECT("'"&amp;D4&amp;"'"&amp;"!A:A"),结果表!B19,INDIRECT("'"&amp;D4&amp;"'"&amp;"!B:B"))</f>
        <v>139582</v>
      </c>
      <c r="E19" s="2429" t="s">
        <v>2145</v>
      </c>
      <c r="F19" s="2430" t="s">
        <v>2144</v>
      </c>
      <c r="G19" s="144">
        <f ca="1">ROUND(C19*$C$18+D19*$D$18,0)</f>
        <v>126103</v>
      </c>
      <c r="H19" s="2431" t="s">
        <v>2146</v>
      </c>
      <c r="I19" s="137"/>
      <c r="K19" s="2423" t="s">
        <v>2147</v>
      </c>
      <c r="L19" s="2423">
        <f>IF(C1="",'数据-汇总表'!D3,SUMIF(项目类型,C1,'数据-汇总表'!D17:D26)+SUMIF(项目类型,C1,'数据-汇总表'!H17:H27))</f>
        <v>8969.4599999999991</v>
      </c>
      <c r="M19" s="2423">
        <f>IF(C1="",'数据-汇总表'!D3,SUMIF(项目类型,C1,'数据-汇总表'!D17:D26))</f>
        <v>8969.4599999999991</v>
      </c>
    </row>
    <row r="20" spans="1:35" ht="15">
      <c r="A20" s="2432"/>
      <c r="B20" s="1244" t="s">
        <v>2148</v>
      </c>
      <c r="C20" s="145">
        <f ca="1">SUMIF(INDIRECT("'"&amp;C4&amp;"'"&amp;"!A:A"),结果表!B20,INDIRECT("'"&amp;C4&amp;"'"&amp;"!B:B"))</f>
        <v>23000</v>
      </c>
      <c r="D20" s="146">
        <f ca="1">SUMIF(INDIRECT("'"&amp;D4&amp;"'"&amp;"!A:A"),结果表!B20,INDIRECT("'"&amp;D4&amp;"'"&amp;"!B:B"))</f>
        <v>28505</v>
      </c>
      <c r="E20" s="2432"/>
      <c r="F20" s="1244" t="s">
        <v>2148</v>
      </c>
      <c r="G20" s="147">
        <f ca="1">ROUND(C20*$C$18+D20*$D$18,0)</f>
        <v>25753</v>
      </c>
      <c r="H20" s="977" t="s">
        <v>2149</v>
      </c>
      <c r="I20" s="137"/>
    </row>
    <row r="21" spans="1:35" ht="15" customHeight="1" thickBot="1">
      <c r="A21" s="997"/>
      <c r="B21" s="2433" t="s">
        <v>2150</v>
      </c>
      <c r="C21" s="787">
        <f ca="1">ROUND(C19*10000/L19,0)</f>
        <v>125564</v>
      </c>
      <c r="D21" s="788">
        <f ca="1">ROUND(D19*10000/L19,0)</f>
        <v>155619</v>
      </c>
      <c r="E21" s="997"/>
      <c r="F21" s="2433" t="s">
        <v>2150</v>
      </c>
      <c r="G21" s="148">
        <f ca="1">ROUND(G19*10000/L19,0)</f>
        <v>140592</v>
      </c>
      <c r="H21" s="2434" t="s">
        <v>2149</v>
      </c>
      <c r="I21" s="137"/>
    </row>
    <row r="22" spans="1:35" ht="15" thickBot="1">
      <c r="A22" s="2275" t="s">
        <v>2151</v>
      </c>
      <c r="B22" s="2435"/>
      <c r="C22" s="2436"/>
      <c r="D22" s="789">
        <f ca="1">IF(C19&lt;D19,D19/C19-1,C19/D19-1)</f>
        <v>0.239362835630061</v>
      </c>
      <c r="E22" s="137"/>
      <c r="F22" s="137"/>
      <c r="G22" s="137"/>
      <c r="H22" s="137"/>
      <c r="I22" s="137"/>
    </row>
    <row r="23" spans="1:35" ht="13.5" thickBot="1">
      <c r="A23" s="2413"/>
      <c r="B23" s="2413"/>
      <c r="C23" s="2413"/>
      <c r="D23" s="2413"/>
      <c r="E23" s="137"/>
      <c r="F23" s="137"/>
      <c r="G23" s="137"/>
      <c r="H23" s="137"/>
      <c r="I23" s="137"/>
    </row>
    <row r="24" spans="1:35" ht="14.25">
      <c r="A24" s="3074" t="s">
        <v>2152</v>
      </c>
      <c r="B24" s="2430" t="s">
        <v>2144</v>
      </c>
      <c r="C24" s="144">
        <f>IF(B30=0,0,D30)</f>
        <v>0</v>
      </c>
      <c r="D24" s="2437"/>
      <c r="E24" s="137"/>
      <c r="F24" s="137"/>
      <c r="G24" s="137"/>
      <c r="H24" s="137"/>
      <c r="I24" s="137"/>
    </row>
    <row r="25" spans="1:35" ht="14.25">
      <c r="A25" s="3075"/>
      <c r="B25" s="1244" t="s">
        <v>2148</v>
      </c>
      <c r="C25" s="149">
        <f>IF(B30=0,0,C30)</f>
        <v>0</v>
      </c>
      <c r="D25" s="2438"/>
      <c r="E25" s="137"/>
      <c r="F25" s="137"/>
      <c r="G25" s="137"/>
      <c r="H25" s="137"/>
      <c r="I25" s="137"/>
    </row>
    <row r="26" spans="1:35" ht="13.5" customHeight="1">
      <c r="A26" s="2439" t="s">
        <v>2153</v>
      </c>
      <c r="B26" s="150" t="s">
        <v>2154</v>
      </c>
      <c r="C26" s="150" t="s">
        <v>2155</v>
      </c>
      <c r="D26" s="151" t="s">
        <v>2156</v>
      </c>
      <c r="E26" s="137"/>
      <c r="F26" s="137">
        <f ca="1">G19-(5000*'数据-汇总表'!G19/10000)</f>
        <v>120220.5</v>
      </c>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f ca="1">F26/'数据-汇总表'!F27</f>
        <v>3.2314802171442456</v>
      </c>
      <c r="E28" s="137"/>
      <c r="F28" s="137"/>
      <c r="G28" s="137"/>
      <c r="H28" s="137"/>
      <c r="I28" s="137"/>
    </row>
    <row r="29" spans="1:35" ht="14.25">
      <c r="A29" s="2439"/>
      <c r="B29" s="150"/>
      <c r="C29" s="150"/>
      <c r="D29" s="151"/>
      <c r="E29" s="137"/>
      <c r="F29" s="137"/>
      <c r="G29" s="137"/>
      <c r="H29" s="137"/>
      <c r="I29" s="137"/>
    </row>
    <row r="30" spans="1:35" ht="14.25">
      <c r="A30" s="150" t="s">
        <v>2157</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2">
        <f ca="1">IF(D32="总价",G19-C24,G20-C25)</f>
        <v>126103</v>
      </c>
      <c r="D32" s="2444" t="s">
        <v>2159</v>
      </c>
      <c r="E32" s="137"/>
      <c r="F32" s="137"/>
      <c r="G32" s="137"/>
      <c r="H32" s="137"/>
      <c r="I32" s="137"/>
    </row>
    <row r="33" spans="1:15" ht="15">
      <c r="A33" s="954" t="s">
        <v>2160</v>
      </c>
      <c r="B33" s="2445"/>
      <c r="C33" s="2446" t="s">
        <v>3228</v>
      </c>
      <c r="D33" s="2447" t="s">
        <v>3116</v>
      </c>
      <c r="E33" s="2448" t="s">
        <v>2161</v>
      </c>
      <c r="F33" s="2449" t="str">
        <f>IF(D32="楼面单价","取值（单价）","取值（总价）")</f>
        <v>取值（总价）</v>
      </c>
      <c r="G33" s="137"/>
      <c r="H33" s="137"/>
      <c r="I33" s="137"/>
    </row>
    <row r="34" spans="1:15" ht="15">
      <c r="A34" s="2450"/>
      <c r="B34" s="2451" t="s">
        <v>2162</v>
      </c>
      <c r="C34" s="156">
        <f ca="1">IF(C33="自定义",F34,C32-C35)</f>
        <v>67213</v>
      </c>
      <c r="D34" s="1052">
        <f ca="1">IF(C33="自定义",ROUND(C34/C32,3),IF(C33="收益比率",SUMIF(INDIRECT("'"&amp;D33&amp;"'"&amp;"!b:b"),"土地收益比率",INDIRECT("'"&amp;D33&amp;"'"&amp;"!c:c")),SUMIF(INDIRECT("'"&amp;D33&amp;"'"&amp;"!b:b"),"土地成本比率",INDIRECT("'"&amp;D33&amp;"'"&amp;"!c:c"))))</f>
        <v>0.53299999999999992</v>
      </c>
      <c r="E34" s="2452" t="s">
        <v>2163</v>
      </c>
      <c r="F34" s="1733"/>
      <c r="G34" s="137"/>
      <c r="H34" s="137"/>
      <c r="I34" s="137"/>
    </row>
    <row r="35" spans="1:15" ht="15.75" thickBot="1">
      <c r="A35" s="2453"/>
      <c r="B35" s="2454" t="s">
        <v>2164</v>
      </c>
      <c r="C35" s="1438">
        <f ca="1">IF(C33="自定义",F35,ROUND(C32*D35,0))</f>
        <v>58890</v>
      </c>
      <c r="D35" s="1439">
        <f ca="1">IF(C33="自定义",ROUND(C35/C32,3),IF(C33="收益比率",SUMIF(INDIRECT("'"&amp;D33&amp;"'"&amp;"!b:b"),"建筑物收益比率",INDIRECT("'"&amp;D33&amp;"'"&amp;"!c:c")),SUMIF(INDIRECT("'"&amp;D33&amp;"'"&amp;"!b:b"),"建筑物成本比率",INDIRECT("'"&amp;D33&amp;"'"&amp;"!c:c"))))</f>
        <v>0.46700000000000003</v>
      </c>
      <c r="E35" s="2455" t="s">
        <v>2165</v>
      </c>
      <c r="F35" s="162"/>
      <c r="G35" s="137"/>
      <c r="H35" s="137"/>
      <c r="I35" s="137"/>
    </row>
    <row r="36" spans="1:15" ht="15.75" thickBot="1">
      <c r="A36" s="3092" t="s">
        <v>2166</v>
      </c>
      <c r="B36" s="2456" t="s">
        <v>2167</v>
      </c>
      <c r="C36" s="153"/>
      <c r="D36" s="2457"/>
      <c r="E36" s="2458"/>
      <c r="F36" s="2459"/>
      <c r="G36" s="137"/>
      <c r="H36" s="137"/>
      <c r="I36" s="137"/>
    </row>
    <row r="37" spans="1:15" ht="15.75" thickBot="1">
      <c r="A37" s="3093"/>
      <c r="B37" s="2261" t="s">
        <v>2168</v>
      </c>
      <c r="C37" s="155"/>
      <c r="D37" s="1389"/>
      <c r="E37" s="1389"/>
      <c r="F37" s="2459"/>
      <c r="G37" s="137"/>
      <c r="H37" s="137"/>
      <c r="I37" s="137"/>
    </row>
    <row r="38" spans="1:15" ht="15.75" thickBot="1">
      <c r="A38" s="3094"/>
      <c r="B38" s="2460" t="s">
        <v>2169</v>
      </c>
      <c r="C38" s="725"/>
      <c r="D38" s="2461" t="s">
        <v>2170</v>
      </c>
      <c r="E38" s="1389"/>
      <c r="F38" s="2459"/>
      <c r="G38" s="137"/>
      <c r="H38" s="137"/>
      <c r="I38" s="137"/>
    </row>
    <row r="39" spans="1:15" ht="15">
      <c r="A39" s="2432" t="s">
        <v>2171</v>
      </c>
      <c r="B39" s="2462" t="s">
        <v>2172</v>
      </c>
      <c r="C39" s="2463" t="s">
        <v>2173</v>
      </c>
      <c r="D39" s="2463" t="s">
        <v>2174</v>
      </c>
      <c r="E39" s="2464" t="s">
        <v>2175</v>
      </c>
      <c r="F39" s="2459"/>
      <c r="G39" s="137"/>
      <c r="H39" s="137"/>
      <c r="I39" s="137"/>
    </row>
    <row r="40" spans="1:15" ht="14.25">
      <c r="A40" s="2465" t="s">
        <v>2176</v>
      </c>
      <c r="B40" s="157"/>
      <c r="C40" s="158"/>
      <c r="D40" s="158"/>
      <c r="E40" s="159"/>
      <c r="F40" s="2459"/>
      <c r="G40" s="137"/>
      <c r="H40" s="137"/>
      <c r="I40" s="137"/>
    </row>
    <row r="41" spans="1:15" ht="14.25">
      <c r="A41" s="2465" t="s">
        <v>2177</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71" t="s">
        <v>2180</v>
      </c>
      <c r="B45" s="3072"/>
      <c r="C45" s="3073"/>
      <c r="D45" s="163">
        <f ca="1">ROUND(H101*F45,0)</f>
        <v>126103</v>
      </c>
      <c r="E45" s="164" t="s">
        <v>2181</v>
      </c>
      <c r="F45" s="165">
        <v>1</v>
      </c>
      <c r="G45" s="166" t="s">
        <v>2182</v>
      </c>
      <c r="H45" s="137"/>
      <c r="I45" s="137"/>
      <c r="J45" s="3131" t="s">
        <v>2183</v>
      </c>
      <c r="K45" s="3131"/>
      <c r="L45" s="3131"/>
      <c r="M45" s="3131"/>
      <c r="N45" s="3131"/>
      <c r="O45" s="3131"/>
    </row>
    <row r="46" spans="1:15" ht="14.25" customHeight="1">
      <c r="A46" s="3068" t="s">
        <v>2184</v>
      </c>
      <c r="B46" s="3069"/>
      <c r="C46" s="3069"/>
      <c r="D46" s="3069"/>
      <c r="E46" s="3069"/>
      <c r="F46" s="3069"/>
      <c r="G46" s="3070"/>
      <c r="H46" s="2475"/>
      <c r="I46" s="167"/>
      <c r="J46" s="1806">
        <v>1</v>
      </c>
      <c r="K46" s="3131" t="s">
        <v>2185</v>
      </c>
      <c r="L46" s="3131"/>
      <c r="M46" s="3151"/>
      <c r="N46" s="3151"/>
      <c r="O46" s="3151"/>
    </row>
    <row r="47" spans="1:15" ht="12" customHeight="1">
      <c r="A47" s="168" t="s">
        <v>2186</v>
      </c>
      <c r="B47" s="169"/>
      <c r="C47" s="170"/>
      <c r="D47" s="171" t="s">
        <v>2187</v>
      </c>
      <c r="E47" s="24" t="s">
        <v>2188</v>
      </c>
      <c r="F47" s="172" t="s">
        <v>2189</v>
      </c>
      <c r="G47" s="173" t="s">
        <v>2190</v>
      </c>
      <c r="H47" s="2475"/>
      <c r="I47" s="167"/>
      <c r="J47" s="1806">
        <v>2</v>
      </c>
      <c r="K47" s="3131" t="s">
        <v>2191</v>
      </c>
      <c r="L47" s="3131"/>
      <c r="M47" s="3152">
        <f>'数据-取费表'!B2</f>
        <v>43615</v>
      </c>
      <c r="N47" s="3152"/>
      <c r="O47" s="3152"/>
    </row>
    <row r="48" spans="1:15" ht="25.5">
      <c r="A48" s="3099" t="s">
        <v>2192</v>
      </c>
      <c r="B48" s="3082"/>
      <c r="C48" s="3082"/>
      <c r="D48" s="139">
        <f>IF(H48="情况1",0,IF(H48="情况2",D52,IF(H48="情况3",D53,IF(H48="情况4",D54))))</f>
        <v>0</v>
      </c>
      <c r="E48" s="1795" t="str">
        <f>IF(H48="情况4","(销售额-原购置价)×税（费）率","销售额×税（费）率")</f>
        <v>销售额×税（费）率</v>
      </c>
      <c r="F48" s="174" t="str">
        <f>IF(H48="情况1","免征",'数据-取费表'!B41)</f>
        <v>免征</v>
      </c>
      <c r="G48" s="2476" t="s">
        <v>2193</v>
      </c>
      <c r="H48" s="2477" t="s">
        <v>2194</v>
      </c>
      <c r="I48" s="2475"/>
      <c r="J48" s="1806">
        <v>3</v>
      </c>
      <c r="K48" s="3131" t="s">
        <v>2195</v>
      </c>
      <c r="L48" s="3131"/>
      <c r="M48" s="3153">
        <f ca="1">H101</f>
        <v>126103</v>
      </c>
      <c r="N48" s="3153"/>
      <c r="O48" s="3153"/>
    </row>
    <row r="49" spans="1:35" ht="25.5" customHeight="1">
      <c r="A49" s="175" t="s">
        <v>2196</v>
      </c>
      <c r="B49" s="3067" t="s">
        <v>2197</v>
      </c>
      <c r="C49" s="3067"/>
      <c r="D49" s="176">
        <v>0</v>
      </c>
      <c r="E49" s="23" t="s">
        <v>2198</v>
      </c>
      <c r="F49" s="28" t="s">
        <v>34</v>
      </c>
      <c r="G49" s="3137"/>
      <c r="H49" s="137"/>
      <c r="I49" s="2478"/>
      <c r="J49" s="1806">
        <v>4</v>
      </c>
      <c r="K49" s="3131" t="str">
        <f>IF(项目基本情况!E8="房地产抵押价值","房地产抵押价值","抵押担保权已注销时的房地产抵押价值")</f>
        <v>房地产抵押价值</v>
      </c>
      <c r="L49" s="3131"/>
      <c r="M49" s="3153">
        <f ca="1">IF(项目基本情况!E8="房地产抵押价值",H107,H109)</f>
        <v>126103</v>
      </c>
      <c r="N49" s="3153"/>
      <c r="O49" s="3153"/>
    </row>
    <row r="50" spans="1:35" ht="25.5" customHeight="1">
      <c r="A50" s="177"/>
      <c r="B50" s="3067" t="s">
        <v>2199</v>
      </c>
      <c r="C50" s="3067"/>
      <c r="D50" s="178"/>
      <c r="E50" s="31"/>
      <c r="F50" s="179"/>
      <c r="G50" s="3138"/>
      <c r="H50" s="137"/>
      <c r="I50" s="2478"/>
      <c r="J50" s="3131" t="s">
        <v>2200</v>
      </c>
      <c r="K50" s="3131"/>
      <c r="L50" s="3131"/>
      <c r="M50" s="3131"/>
      <c r="N50" s="3131"/>
      <c r="O50" s="3131"/>
    </row>
    <row r="51" spans="1:35" ht="12" customHeight="1">
      <c r="A51" s="180"/>
      <c r="B51" s="3067" t="s">
        <v>2201</v>
      </c>
      <c r="C51" s="3067"/>
      <c r="D51" s="181"/>
      <c r="E51" s="30"/>
      <c r="F51" s="179"/>
      <c r="G51" s="3139"/>
      <c r="H51" s="137"/>
      <c r="I51" s="2478"/>
      <c r="J51" s="2479" t="s">
        <v>2202</v>
      </c>
      <c r="K51" s="3131" t="s">
        <v>2203</v>
      </c>
      <c r="L51" s="3131"/>
      <c r="M51" s="2479" t="s">
        <v>2204</v>
      </c>
      <c r="N51" s="2479" t="s">
        <v>2205</v>
      </c>
      <c r="O51" s="2479" t="s">
        <v>2206</v>
      </c>
    </row>
    <row r="52" spans="1:35" ht="24" customHeight="1">
      <c r="A52" s="182" t="s">
        <v>2207</v>
      </c>
      <c r="B52" s="3067" t="s">
        <v>2208</v>
      </c>
      <c r="C52" s="3067"/>
      <c r="D52" s="181">
        <f ca="1">ROUND(D45*'数据-取费表'!B41/(1+'数据-取费表'!C42),0)</f>
        <v>6605</v>
      </c>
      <c r="E52" s="11" t="s">
        <v>2209</v>
      </c>
      <c r="F52" s="183">
        <f>'数据-取费表'!B41</f>
        <v>5.5000000000000007E-2</v>
      </c>
      <c r="G52" s="2480"/>
      <c r="H52" s="137"/>
      <c r="I52" s="2478"/>
      <c r="J52" s="1806">
        <v>1</v>
      </c>
      <c r="K52" s="3132" t="s">
        <v>2210</v>
      </c>
      <c r="L52" s="3132"/>
      <c r="M52" s="1748">
        <f>D48</f>
        <v>0</v>
      </c>
      <c r="N52" s="1806" t="str">
        <f>E48</f>
        <v>销售额×税（费）率</v>
      </c>
      <c r="O52" s="1749" t="str">
        <f>F48</f>
        <v>免征</v>
      </c>
    </row>
    <row r="53" spans="1:35" ht="12" customHeight="1">
      <c r="A53" s="182" t="s">
        <v>2211</v>
      </c>
      <c r="B53" s="3090" t="s">
        <v>2212</v>
      </c>
      <c r="C53" s="3091"/>
      <c r="D53" s="181">
        <f ca="1">ROUND(D45*'数据-取费表'!B41/(1+'数据-取费表'!C42),0)</f>
        <v>6605</v>
      </c>
      <c r="E53" s="11" t="s">
        <v>2209</v>
      </c>
      <c r="F53" s="183">
        <f>'数据-取费表'!B41</f>
        <v>5.5000000000000007E-2</v>
      </c>
      <c r="G53" s="2480"/>
      <c r="H53" s="137"/>
      <c r="I53" s="2478"/>
      <c r="J53" s="1806">
        <v>2</v>
      </c>
      <c r="K53" s="3132" t="s">
        <v>2213</v>
      </c>
      <c r="L53" s="3132"/>
      <c r="M53" s="1748">
        <f t="shared" ref="M53:O54" ca="1" si="0">D55</f>
        <v>63</v>
      </c>
      <c r="N53" s="1806" t="str">
        <f t="shared" si="0"/>
        <v>销售额×税（费）率</v>
      </c>
      <c r="O53" s="1749">
        <f t="shared" si="0"/>
        <v>5.0000000000000001E-4</v>
      </c>
    </row>
    <row r="54" spans="1:35" ht="12" customHeight="1">
      <c r="A54" s="182" t="s">
        <v>2214</v>
      </c>
      <c r="B54" s="3090" t="s">
        <v>2215</v>
      </c>
      <c r="C54" s="3091"/>
      <c r="D54" s="181">
        <f ca="1">C68</f>
        <v>6605</v>
      </c>
      <c r="E54" s="30" t="s">
        <v>2216</v>
      </c>
      <c r="F54" s="183">
        <f>'数据-取费表'!B41</f>
        <v>5.5000000000000007E-2</v>
      </c>
      <c r="G54" s="2480"/>
      <c r="H54" s="2481"/>
      <c r="I54" s="2478"/>
      <c r="J54" s="1806">
        <v>3</v>
      </c>
      <c r="K54" s="3132" t="s">
        <v>2217</v>
      </c>
      <c r="L54" s="3132"/>
      <c r="M54" s="1748">
        <f t="shared" ca="1" si="0"/>
        <v>71489</v>
      </c>
      <c r="N54" s="1806" t="str">
        <f t="shared" si="0"/>
        <v>增值额×税（费）率</v>
      </c>
      <c r="O54" s="1750" t="str">
        <f t="shared" si="0"/>
        <v>——</v>
      </c>
    </row>
    <row r="55" spans="1:35" ht="24" customHeight="1">
      <c r="A55" s="3081" t="s">
        <v>2218</v>
      </c>
      <c r="B55" s="3082"/>
      <c r="C55" s="3082"/>
      <c r="D55" s="184">
        <f ca="1">IF(H55="个人住宅",0,ROUND(D45*I55,0))</f>
        <v>63</v>
      </c>
      <c r="E55" s="11" t="s">
        <v>2219</v>
      </c>
      <c r="F55" s="183">
        <f>IF(H55="正常",I55,"免征")</f>
        <v>5.0000000000000001E-4</v>
      </c>
      <c r="G55" s="2480"/>
      <c r="H55" s="2477" t="s">
        <v>2220</v>
      </c>
      <c r="I55" s="185">
        <f>'数据-取费表'!B49</f>
        <v>5.0000000000000001E-4</v>
      </c>
      <c r="J55" s="1806" t="str">
        <f>IF(H59="非个人房产","",4)</f>
        <v/>
      </c>
      <c r="K55" s="3132" t="str">
        <f>IF(H59="非个人房产","——","个人所得税")</f>
        <v>——</v>
      </c>
      <c r="L55" s="3132"/>
      <c r="M55" s="1751" t="str">
        <f>D59</f>
        <v>——</v>
      </c>
      <c r="N55" s="1804" t="str">
        <f>E59</f>
        <v>——</v>
      </c>
      <c r="O55" s="1752" t="str">
        <f>F59</f>
        <v>——</v>
      </c>
    </row>
    <row r="56" spans="1:35" ht="24.75">
      <c r="A56" s="3081" t="s">
        <v>2221</v>
      </c>
      <c r="B56" s="3082"/>
      <c r="C56" s="3082"/>
      <c r="D56" s="184">
        <f ca="1">IF(H56="个人住宅",D57,D58)</f>
        <v>71489</v>
      </c>
      <c r="E56" s="11" t="s">
        <v>2222</v>
      </c>
      <c r="F56" s="183" t="str">
        <f>IF(H56="正常",F58,"免征")</f>
        <v>——</v>
      </c>
      <c r="G56" s="2482" t="s">
        <v>2223</v>
      </c>
      <c r="H56" s="2483" t="s">
        <v>2220</v>
      </c>
      <c r="I56" s="2484"/>
      <c r="J56" s="1806" t="str">
        <f>IF(项目基本情况!K6="上海银行",IF(J55="",4,J55+1),"")</f>
        <v/>
      </c>
      <c r="K56" s="3155" t="str">
        <f>IF(项目基本情况!K6="上海银行","其他处置费用","")</f>
        <v/>
      </c>
      <c r="L56" s="3156"/>
      <c r="M56" s="1748" t="str">
        <f>IF(项目基本情况!K6="上海银行",M69,"")</f>
        <v/>
      </c>
      <c r="N56" s="3158" t="str">
        <f>IF(项目基本情况!K6="上海银行","包含处置中涉及的律师、诉讼、拍卖、评估等费用","")</f>
        <v/>
      </c>
      <c r="O56" s="3159"/>
    </row>
    <row r="57" spans="1:35" ht="12.75">
      <c r="A57" s="182" t="s">
        <v>2196</v>
      </c>
      <c r="B57" s="3097" t="s">
        <v>2224</v>
      </c>
      <c r="C57" s="3106"/>
      <c r="D57" s="186">
        <v>0</v>
      </c>
      <c r="E57" s="23" t="s">
        <v>2198</v>
      </c>
      <c r="F57" s="154"/>
      <c r="G57" s="2480"/>
      <c r="H57" s="2484"/>
      <c r="I57" s="2484"/>
      <c r="J57" s="3132">
        <f>IF(AND(J55="",J56=""),4,IF(项目基本情况!K6="上海银行",结果表!J56+1,结果表!J55+1))</f>
        <v>4</v>
      </c>
      <c r="K57" s="3132" t="s">
        <v>2225</v>
      </c>
      <c r="L57" s="2485" t="s">
        <v>2226</v>
      </c>
      <c r="M57" s="1753"/>
      <c r="N57" s="1754">
        <f ca="1">SUMIF(M52:M56,"&lt;9e307")</f>
        <v>71552</v>
      </c>
      <c r="O57" s="2486"/>
      <c r="P57" s="1747">
        <f ca="1">N57/M49</f>
        <v>0.56740918138347229</v>
      </c>
    </row>
    <row r="58" spans="1:35" ht="24.75">
      <c r="A58" s="182" t="s">
        <v>2207</v>
      </c>
      <c r="B58" s="3097" t="s">
        <v>2227</v>
      </c>
      <c r="C58" s="3098"/>
      <c r="D58" s="184">
        <f ca="1">IF(H58="转让取得",C81,C97)</f>
        <v>71489</v>
      </c>
      <c r="E58" s="11" t="s">
        <v>2222</v>
      </c>
      <c r="F58" s="24" t="s">
        <v>34</v>
      </c>
      <c r="G58" s="2480"/>
      <c r="H58" s="2483" t="s">
        <v>2228</v>
      </c>
      <c r="I58" s="2484"/>
      <c r="J58" s="3132"/>
      <c r="K58" s="3132"/>
      <c r="L58" s="2485" t="s">
        <v>2229</v>
      </c>
      <c r="M58" s="1755"/>
      <c r="N58" s="2487" t="str">
        <f ca="1">NUMBERSTRING(INT(N57*10000),2)&amp;"元整"</f>
        <v>柒亿壹仟伍佰伍拾贰万元整</v>
      </c>
      <c r="O58" s="2488"/>
    </row>
    <row r="59" spans="1:35" ht="24.75" thickBot="1">
      <c r="A59" s="3135" t="s">
        <v>2230</v>
      </c>
      <c r="B59" s="3136"/>
      <c r="C59" s="3136"/>
      <c r="D59" s="187" t="str">
        <f>IF(H59="非个人房产","——",IF(H59="个人住宅",0,ROUND(D45*I59,0)))</f>
        <v>——</v>
      </c>
      <c r="E59" s="188" t="str">
        <f>IF(H59="非个人房产","——","销售额×税（费）率")</f>
        <v>——</v>
      </c>
      <c r="F59" s="189" t="str">
        <f>IF(H59="非个人房产","——",IF(H59="个人住宅","免征",I59))</f>
        <v>——</v>
      </c>
      <c r="G59" s="2489" t="s">
        <v>2223</v>
      </c>
      <c r="H59" s="2483" t="s">
        <v>2231</v>
      </c>
      <c r="I59" s="190">
        <v>0.01</v>
      </c>
      <c r="J59" s="3133">
        <f>J57+1</f>
        <v>5</v>
      </c>
      <c r="K59" s="3132" t="s">
        <v>2232</v>
      </c>
      <c r="L59" s="1806" t="s">
        <v>2226</v>
      </c>
      <c r="M59" s="1756"/>
      <c r="N59" s="1757">
        <f ca="1">M49-N57</f>
        <v>54551</v>
      </c>
      <c r="O59" s="2490"/>
    </row>
    <row r="60" spans="1:35" ht="12" customHeight="1">
      <c r="A60" s="2491"/>
      <c r="B60" s="2413"/>
      <c r="C60" s="2413"/>
      <c r="D60" s="2413"/>
      <c r="E60" s="2160"/>
      <c r="F60" s="2484"/>
      <c r="G60" s="2484"/>
      <c r="H60" s="2492"/>
      <c r="I60" s="137"/>
      <c r="J60" s="3134"/>
      <c r="K60" s="3132"/>
      <c r="L60" s="2485" t="s">
        <v>2229</v>
      </c>
      <c r="M60" s="1755"/>
      <c r="N60" s="2487" t="str">
        <f ca="1">NUMBERSTRING(INT(N59*10000),2)&amp;"元整"</f>
        <v>伍亿肆仟伍佰伍拾壹万元整</v>
      </c>
      <c r="O60" s="2488"/>
    </row>
    <row r="61" spans="1:35" ht="13.5" thickBot="1">
      <c r="A61" s="3079" t="s">
        <v>2233</v>
      </c>
      <c r="B61" s="3079"/>
      <c r="C61" s="3079"/>
      <c r="D61" s="3079"/>
      <c r="E61" s="3079"/>
      <c r="F61" s="2484"/>
      <c r="G61" s="2484"/>
      <c r="H61" s="2492"/>
      <c r="I61" s="137"/>
      <c r="J61" s="1806">
        <f>J59+1</f>
        <v>6</v>
      </c>
      <c r="K61" s="3132" t="s">
        <v>2234</v>
      </c>
      <c r="L61" s="3132"/>
      <c r="M61" s="1758"/>
      <c r="N61" s="1759">
        <f ca="1">ROUND(N59*10000/'数据-汇总表'!E3,0)</f>
        <v>11140</v>
      </c>
      <c r="O61" s="2493"/>
    </row>
    <row r="62" spans="1:35" ht="12.75">
      <c r="A62" s="3095" t="s">
        <v>2235</v>
      </c>
      <c r="B62" s="3096"/>
      <c r="C62" s="1798"/>
      <c r="D62" s="1798" t="s">
        <v>2236</v>
      </c>
      <c r="E62" s="191" t="s">
        <v>2237</v>
      </c>
      <c r="F62" s="2484"/>
      <c r="G62" s="2484"/>
      <c r="H62" s="2492"/>
      <c r="I62" s="137"/>
    </row>
    <row r="63" spans="1:35" ht="12.75">
      <c r="A63" s="202" t="s">
        <v>775</v>
      </c>
      <c r="B63" s="192" t="s">
        <v>2238</v>
      </c>
      <c r="C63" s="193">
        <f ca="1">ROUND((C64+C65)/(1+'数据-取费表'!C42),0)</f>
        <v>120098</v>
      </c>
      <c r="D63" s="194"/>
      <c r="E63" s="195"/>
      <c r="F63" s="2484"/>
      <c r="G63" s="2484"/>
      <c r="H63" s="2492"/>
      <c r="I63" s="137"/>
      <c r="J63" s="3157" t="s">
        <v>2239</v>
      </c>
      <c r="K63" s="2494" t="s">
        <v>2240</v>
      </c>
      <c r="L63" s="1746">
        <f ca="1">IF(M49&gt;10000,M49*0.5%,IF(AND(M49&gt;1000,M49&lt;=10000),M49*1%,IF(AND(M49&gt;100,M49&lt;=1000),M49*3%,IF(AND(M49&gt;10,M49&lt;=100),M49*5%,M49*8%))))</f>
        <v>630.51499999999999</v>
      </c>
      <c r="M63" s="24">
        <f ca="1">ROUND(L63,1)</f>
        <v>630.5</v>
      </c>
      <c r="Z63" s="2418"/>
      <c r="AI63" s="2419"/>
    </row>
    <row r="64" spans="1:35" ht="14.25" customHeight="1">
      <c r="A64" s="196" t="s">
        <v>770</v>
      </c>
      <c r="B64" s="197" t="s">
        <v>2241</v>
      </c>
      <c r="C64" s="198">
        <f ca="1">D45</f>
        <v>126103</v>
      </c>
      <c r="D64" s="199" t="s">
        <v>32</v>
      </c>
      <c r="E64" s="200"/>
      <c r="F64" s="2484"/>
      <c r="G64" s="2484"/>
      <c r="H64" s="2492"/>
      <c r="I64" s="137"/>
      <c r="J64" s="3157"/>
      <c r="K64" s="2494" t="s">
        <v>2242</v>
      </c>
      <c r="L64" s="1746">
        <f ca="1">IF(M49&gt;2000,M49*0.5%,IF(AND(M49&gt;1000,M49&lt;=2000),M49*0.6%,IF(AND(M49&gt;500,M49&lt;=1000),M49*0.7%,IF(AND(M49&gt;200,M49&lt;=500),M49*0.8%,IF(AND(M49&gt;100,M49&lt;=200),M49*0.9%,IF(AND(M49&gt;50,M49&lt;=100),M49*1%,IF(AND(M49&gt;20,M49&lt;=50),M49*1.5%,IF(AND(M49&gt;10,M49&lt;=20),M49*2%,IF(AND(M49&gt;1,M49&lt;=10),M49*2.5%)))))))))</f>
        <v>630.51499999999999</v>
      </c>
      <c r="M64" s="24">
        <f t="shared" ref="M64:M65" ca="1" si="1">ROUND(L64,1)</f>
        <v>630.5</v>
      </c>
      <c r="N64" s="137" t="s">
        <v>2243</v>
      </c>
      <c r="Z64" s="2418"/>
      <c r="AI64" s="2419"/>
    </row>
    <row r="65" spans="1:35" ht="14.25" customHeight="1">
      <c r="A65" s="196" t="s">
        <v>771</v>
      </c>
      <c r="B65" s="197" t="s">
        <v>2244</v>
      </c>
      <c r="C65" s="201"/>
      <c r="D65" s="199"/>
      <c r="E65" s="200"/>
      <c r="F65" s="2484"/>
      <c r="G65" s="2484"/>
      <c r="H65" s="2492"/>
      <c r="I65" s="137"/>
      <c r="J65" s="3157"/>
      <c r="K65" s="2494" t="s">
        <v>2245</v>
      </c>
      <c r="L65" s="1746">
        <f ca="1">IF(M49&gt;1000,M49*0.1%,IF(AND(M49&gt;500,M49&lt;=1000),M49*0.5%,IF(AND(M49&gt;50,M49&lt;=500),M49*1%,IF(AND(M49&gt;1,M49&lt;=50),M49*1.5%))))</f>
        <v>126.10300000000001</v>
      </c>
      <c r="M65" s="24">
        <f t="shared" ca="1" si="1"/>
        <v>126.1</v>
      </c>
      <c r="N65" s="137" t="s">
        <v>2243</v>
      </c>
      <c r="Z65" s="2418"/>
      <c r="AI65" s="2419"/>
    </row>
    <row r="66" spans="1:35" ht="14.25" customHeight="1">
      <c r="A66" s="202" t="s">
        <v>772</v>
      </c>
      <c r="B66" s="203" t="s">
        <v>2246</v>
      </c>
      <c r="C66" s="204"/>
      <c r="D66" s="205" t="s">
        <v>32</v>
      </c>
      <c r="E66" s="1770" t="s">
        <v>1367</v>
      </c>
      <c r="F66" s="2484"/>
      <c r="G66" s="2484"/>
      <c r="H66" s="2492"/>
      <c r="I66" s="137"/>
      <c r="J66" s="3157"/>
      <c r="K66" s="2494" t="s">
        <v>2247</v>
      </c>
      <c r="L66" s="1746">
        <f ca="1">M49*0.5%</f>
        <v>630.51499999999999</v>
      </c>
      <c r="M66" s="24">
        <f ca="1">IF(L66&gt;0.5,0.5,ROUND(L66,0))</f>
        <v>0.5</v>
      </c>
      <c r="N66" s="137" t="s">
        <v>2248</v>
      </c>
      <c r="Z66" s="2418"/>
      <c r="AI66" s="2419"/>
    </row>
    <row r="67" spans="1:35" ht="14.25" customHeight="1">
      <c r="A67" s="202" t="s">
        <v>773</v>
      </c>
      <c r="B67" s="203" t="s">
        <v>2249</v>
      </c>
      <c r="C67" s="206">
        <f ca="1">C63-C66</f>
        <v>120098</v>
      </c>
      <c r="D67" s="199" t="s">
        <v>32</v>
      </c>
      <c r="E67" s="200"/>
      <c r="F67" s="2484"/>
      <c r="G67" s="2484"/>
      <c r="H67" s="2492"/>
      <c r="I67" s="137"/>
      <c r="J67" s="3157"/>
      <c r="K67" s="2494" t="s">
        <v>2250</v>
      </c>
      <c r="L67" s="1746">
        <f ca="1">IF(M49&gt;=10000,(8.25+(M49-10000)*0.01%),IF(AND(M49&gt;=8000,M49&lt;10000),(7.85+(M49-8000)*0.02%),IF(AND(M49&gt;=5000,M49&lt;8000),(6.65+(M49-5000)*0.04%),IF(AND(M49&gt;=2000,M49&lt;5000),(4.25+(PM49-2000)*0.08%),IF(AND(M49&gt;=1000,M49&lt;2000),(2.75+(M49-1000)*0.15%),IF(AND(M49&gt;=100,M49&lt;1000),(0.5+(M49-100)*0.25%),IF(AND(M49&gt;0,M49&lt;100),M49*0.5%)))))))</f>
        <v>19.860300000000002</v>
      </c>
      <c r="M67" s="24">
        <f ca="1">ROUND(L67*0.9,1)</f>
        <v>17.899999999999999</v>
      </c>
      <c r="Z67" s="2418"/>
      <c r="AI67" s="2419"/>
    </row>
    <row r="68" spans="1:35" ht="14.25" customHeight="1" thickBot="1">
      <c r="A68" s="207" t="s">
        <v>774</v>
      </c>
      <c r="B68" s="208" t="s">
        <v>2251</v>
      </c>
      <c r="C68" s="209">
        <f ca="1">IF(C67&lt;=0,0,ROUND(C67*D68,0))</f>
        <v>6605</v>
      </c>
      <c r="D68" s="210">
        <f>'数据-取费表'!B41</f>
        <v>5.5000000000000007E-2</v>
      </c>
      <c r="E68" s="211"/>
      <c r="F68" s="2484"/>
      <c r="G68" s="2484"/>
      <c r="H68" s="2492"/>
      <c r="I68" s="137"/>
      <c r="J68" s="3157"/>
      <c r="K68" s="2494" t="s">
        <v>2252</v>
      </c>
      <c r="L68" s="1746">
        <f ca="1">IF(M49&gt;10000,M49*0.5%,IF(AND(M49&gt;5000,M49&lt;=10000),M49*1%,IF(AND(M49&gt;1000,M49&lt;=5000),M49*2%,IF(AND(M49&gt;200,M49&lt;=1000),M49*3%,M49*5%))))</f>
        <v>630.51499999999999</v>
      </c>
      <c r="M68" s="24">
        <f ca="1">ROUND(L68,1)</f>
        <v>630.5</v>
      </c>
      <c r="Z68" s="2418"/>
      <c r="AI68" s="2419"/>
    </row>
    <row r="69" spans="1:35" s="2441" customFormat="1" ht="16.5" customHeight="1">
      <c r="A69" s="2495"/>
      <c r="B69" s="2496"/>
      <c r="C69" s="2497"/>
      <c r="D69" s="2498"/>
      <c r="E69" s="2499"/>
      <c r="F69" s="2160"/>
      <c r="G69" s="2160"/>
      <c r="H69" s="2159"/>
      <c r="I69" s="2413"/>
      <c r="J69" s="3157"/>
      <c r="K69" s="2494" t="s">
        <v>2253</v>
      </c>
      <c r="L69" s="2500"/>
      <c r="M69" s="24">
        <f ca="1">ROUND(SUM(M63:M68),0)</f>
        <v>2036</v>
      </c>
      <c r="N69" s="1747">
        <f ca="1">M69/M49</f>
        <v>1.6145531827157167E-2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6" t="s">
        <v>2254</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5" t="s">
        <v>2235</v>
      </c>
      <c r="B71" s="3096"/>
      <c r="C71" s="1798"/>
      <c r="D71" s="1798" t="s">
        <v>2236</v>
      </c>
      <c r="E71" s="212" t="s">
        <v>2237</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2255</v>
      </c>
      <c r="C72" s="206">
        <f ca="1">ROUND(D45/(1+'数据-取费表'!C42),0)</f>
        <v>120098</v>
      </c>
      <c r="D72" s="199" t="s">
        <v>32</v>
      </c>
      <c r="E72" s="1797"/>
      <c r="F72" s="1791"/>
      <c r="G72" s="1791"/>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2256</v>
      </c>
      <c r="C73" s="206">
        <f ca="1">C74+C78</f>
        <v>600</v>
      </c>
      <c r="D73" s="199" t="s">
        <v>32</v>
      </c>
      <c r="E73" s="1797"/>
      <c r="F73" s="1791"/>
      <c r="G73" s="1791"/>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2257</v>
      </c>
      <c r="C74" s="199">
        <f>ROUND(IF(G77="2016年5月1日后购买",C75/(1+'数据-取费表'!C42)+C76+C77,C75+C76+C77),0)</f>
        <v>0</v>
      </c>
      <c r="D74" s="199" t="s">
        <v>32</v>
      </c>
      <c r="E74" s="1797"/>
      <c r="F74" s="1791"/>
      <c r="G74" s="1791"/>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2258</v>
      </c>
      <c r="C75" s="217"/>
      <c r="D75" s="199" t="s">
        <v>32</v>
      </c>
      <c r="E75" s="218" t="s">
        <v>2259</v>
      </c>
      <c r="F75" s="2506" t="s">
        <v>2260</v>
      </c>
      <c r="G75" s="218" t="s">
        <v>2261</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2262</v>
      </c>
      <c r="C76" s="199">
        <f>IF(F75="购房发票",ROUND(C75*H75*D76,0),0)</f>
        <v>0</v>
      </c>
      <c r="D76" s="221">
        <v>0.05</v>
      </c>
      <c r="E76" s="3090" t="s">
        <v>2263</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2267</v>
      </c>
      <c r="C78" s="224">
        <f ca="1">ROUND(D45*D78/(1+'数据-取费表'!C42),0)</f>
        <v>600</v>
      </c>
      <c r="D78" s="225">
        <f>'数据-取费表'!B43</f>
        <v>5.000000000000001E-3</v>
      </c>
      <c r="E78" s="3076" t="s">
        <v>2268</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2269</v>
      </c>
      <c r="C79" s="206">
        <f ca="1">C72-C73</f>
        <v>119498</v>
      </c>
      <c r="D79" s="199" t="s">
        <v>32</v>
      </c>
      <c r="E79" s="1797"/>
      <c r="F79" s="1791"/>
      <c r="G79" s="1791"/>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2270</v>
      </c>
      <c r="C80" s="226">
        <f ca="1">IF(C79&lt;=0,0,C79/C73)</f>
        <v>199.16333333333333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2271</v>
      </c>
      <c r="C81" s="227">
        <f ca="1">ROUND(IF(C79&lt;=0,0,IF(C80&gt;=200%,C79*60%-C73*35%,IF(C80&gt;=100%,C79*50%-C73*15%,IF(C80&gt;=50%,C79*40%-C73*5%,IF(C80&lt;50%,C79*30%,0))))),0)</f>
        <v>71489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2272</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5" t="s">
        <v>2235</v>
      </c>
      <c r="B84" s="3096"/>
      <c r="C84" s="1798"/>
      <c r="D84" s="1798" t="s">
        <v>2236</v>
      </c>
      <c r="E84" s="212" t="s">
        <v>2237</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2255</v>
      </c>
      <c r="C85" s="206">
        <f ca="1">ROUND(D45/(1+'数据-取费表'!C42),0)</f>
        <v>120098</v>
      </c>
      <c r="D85" s="199" t="s">
        <v>32</v>
      </c>
      <c r="E85" s="1797"/>
      <c r="F85" s="1791"/>
      <c r="G85" s="1791"/>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2256</v>
      </c>
      <c r="C86" s="206">
        <f ca="1">IF(H88="仅含出让金",C87+C90+C91+C92+C93+C94,C87+C91+C92+C93+C94)</f>
        <v>600</v>
      </c>
      <c r="D86" s="234"/>
      <c r="E86" s="1797"/>
      <c r="F86" s="1791"/>
      <c r="G86" s="1791"/>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2273</v>
      </c>
      <c r="C87" s="224">
        <f>C88+C89</f>
        <v>0</v>
      </c>
      <c r="D87" s="225"/>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2274</v>
      </c>
      <c r="C88" s="235"/>
      <c r="D88" s="225"/>
      <c r="E88" s="236" t="s">
        <v>2275</v>
      </c>
      <c r="F88" s="1794"/>
      <c r="G88" s="237"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2264</v>
      </c>
      <c r="C89" s="224">
        <f>ROUND(C88*D89,0)</f>
        <v>0</v>
      </c>
      <c r="D89" s="225">
        <f>'数据-取费表'!B48+'数据-取费表'!B49</f>
        <v>3.0499999999999999E-2</v>
      </c>
      <c r="E89" s="236"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2278</v>
      </c>
      <c r="C90" s="235"/>
      <c r="D90" s="225"/>
      <c r="E90" s="236"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2279</v>
      </c>
      <c r="B91" s="197" t="s">
        <v>2280</v>
      </c>
      <c r="C91" s="224">
        <f>IF(H91="——",成本法!C33,I91)</f>
        <v>0</v>
      </c>
      <c r="D91" s="225"/>
      <c r="E91" s="3076" t="s">
        <v>2281</v>
      </c>
      <c r="F91" s="3077"/>
      <c r="G91" s="3077"/>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2283</v>
      </c>
      <c r="B92" s="197" t="s">
        <v>2284</v>
      </c>
      <c r="C92" s="224">
        <f>ROUND((C87+C90+C91)*D92,0)</f>
        <v>0</v>
      </c>
      <c r="D92" s="225">
        <v>0.1</v>
      </c>
      <c r="E92" s="3076" t="s">
        <v>2285</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2286</v>
      </c>
      <c r="B93" s="197" t="s">
        <v>2267</v>
      </c>
      <c r="C93" s="224">
        <f ca="1">ROUND(D45*D93/(1+'数据-取费表'!C42),0)</f>
        <v>600</v>
      </c>
      <c r="D93" s="225">
        <f>'数据-取费表'!B43</f>
        <v>5.000000000000001E-3</v>
      </c>
      <c r="E93" s="3076" t="s">
        <v>2268</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2287</v>
      </c>
      <c r="B94" s="197" t="s">
        <v>2288</v>
      </c>
      <c r="C94" s="235">
        <f>ROUND((C87+C90+C91)*D94,0)</f>
        <v>0</v>
      </c>
      <c r="D94" s="225">
        <v>0.2</v>
      </c>
      <c r="E94" s="3087" t="s">
        <v>2289</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2269</v>
      </c>
      <c r="C95" s="206">
        <f ca="1">ROUND(C85-C86,0)</f>
        <v>119498</v>
      </c>
      <c r="D95" s="199" t="s">
        <v>32</v>
      </c>
      <c r="E95" s="1797"/>
      <c r="F95" s="1791"/>
      <c r="G95" s="1791"/>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2270</v>
      </c>
      <c r="C96" s="226">
        <f ca="1">IF(C95&lt;=0,0,C95/C86)</f>
        <v>199.16333333333333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2271</v>
      </c>
      <c r="C97" s="227">
        <f ca="1">ROUND(IF(C95&lt;=0,0,IF(C96&gt;=200%,C95*60%-C86*35%,IF(C96&gt;=100%,C95*50%-C86*15%,IF(C96&gt;=50%,C95*40%-C86*5%,IF(C96&lt;50%,C95*30%,0))))),0)</f>
        <v>71489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7"/>
    </row>
    <row r="99" spans="1:35" ht="21.75" customHeight="1" thickBot="1">
      <c r="A99" s="2469" t="s">
        <v>2290</v>
      </c>
      <c r="B99" s="2413"/>
      <c r="C99" s="2413"/>
      <c r="D99" s="2413"/>
      <c r="E99" s="2160"/>
      <c r="F99" s="2160"/>
      <c r="G99" s="2160"/>
      <c r="H99" s="2159"/>
      <c r="I99" s="137"/>
    </row>
    <row r="100" spans="1:35" ht="18.75" customHeight="1">
      <c r="A100" s="3061" t="s">
        <v>2291</v>
      </c>
      <c r="B100" s="3062"/>
      <c r="C100" s="3062"/>
      <c r="D100" s="3078"/>
      <c r="E100" s="3062" t="s">
        <v>2292</v>
      </c>
      <c r="F100" s="3062"/>
      <c r="G100" s="3062"/>
      <c r="H100" s="3078"/>
      <c r="I100" s="137"/>
    </row>
    <row r="101" spans="1:35" ht="18.75" customHeight="1">
      <c r="A101" s="3140" t="s">
        <v>2293</v>
      </c>
      <c r="B101" s="3141"/>
      <c r="C101" s="734" t="str">
        <f>C4</f>
        <v>成本法</v>
      </c>
      <c r="D101" s="735" t="str">
        <f>D4</f>
        <v>收益法</v>
      </c>
      <c r="E101" s="3154" t="s">
        <v>2294</v>
      </c>
      <c r="F101" s="3108"/>
      <c r="G101" s="2515" t="s">
        <v>2295</v>
      </c>
      <c r="H101" s="1042">
        <f ca="1">H118</f>
        <v>126103</v>
      </c>
      <c r="I101" s="137"/>
    </row>
    <row r="102" spans="1:35" ht="18.75" customHeight="1">
      <c r="A102" s="3110" t="s">
        <v>2296</v>
      </c>
      <c r="B102" s="2515" t="s">
        <v>2295</v>
      </c>
      <c r="C102" s="734">
        <f ca="1">C19</f>
        <v>112624</v>
      </c>
      <c r="D102" s="735">
        <f ca="1">D19</f>
        <v>139582</v>
      </c>
      <c r="E102" s="3154"/>
      <c r="F102" s="3108"/>
      <c r="G102" s="2515" t="s">
        <v>2297</v>
      </c>
      <c r="H102" s="370">
        <f ca="1">I118</f>
        <v>25752</v>
      </c>
      <c r="I102" s="137"/>
    </row>
    <row r="103" spans="1:35" ht="42.75" customHeight="1">
      <c r="A103" s="3110"/>
      <c r="B103" s="2515" t="s">
        <v>2297</v>
      </c>
      <c r="C103" s="736">
        <f ca="1">C20</f>
        <v>23000</v>
      </c>
      <c r="D103" s="737">
        <f ca="1">D20</f>
        <v>28505</v>
      </c>
      <c r="E103" s="3149" t="s">
        <v>2298</v>
      </c>
      <c r="F103" s="3150"/>
      <c r="G103" s="2516" t="s">
        <v>2299</v>
      </c>
      <c r="H103" s="1042">
        <f>IF(D36="正常操作",H104+H105+H106,H105+H106)</f>
        <v>0</v>
      </c>
      <c r="I103" s="137"/>
    </row>
    <row r="104" spans="1:35" ht="18.75" customHeight="1">
      <c r="A104" s="3110" t="s">
        <v>2300</v>
      </c>
      <c r="B104" s="2517" t="s">
        <v>2295</v>
      </c>
      <c r="C104" s="738">
        <f ca="1">H118</f>
        <v>126103</v>
      </c>
      <c r="D104" s="739"/>
      <c r="E104" s="2261" t="s">
        <v>2301</v>
      </c>
      <c r="F104" s="2252"/>
      <c r="G104" s="2516" t="s">
        <v>2299</v>
      </c>
      <c r="H104" s="1043">
        <f>IF(D36="同一抵押权人同一抵押物续贷",C36&amp;"（未扣减，详见特别提示）",C36)</f>
        <v>0</v>
      </c>
      <c r="I104" s="137"/>
    </row>
    <row r="105" spans="1:35" ht="18.75" customHeight="1" thickBot="1">
      <c r="A105" s="3111"/>
      <c r="B105" s="2518" t="s">
        <v>2297</v>
      </c>
      <c r="C105" s="740">
        <f ca="1">I118</f>
        <v>25752</v>
      </c>
      <c r="D105" s="741"/>
      <c r="E105" s="2261" t="s">
        <v>2302</v>
      </c>
      <c r="F105" s="2252"/>
      <c r="G105" s="2516" t="s">
        <v>2299</v>
      </c>
      <c r="H105" s="1043">
        <f>C37</f>
        <v>0</v>
      </c>
      <c r="I105" s="137"/>
    </row>
    <row r="106" spans="1:35" ht="18.75" customHeight="1">
      <c r="A106" s="2413" t="s">
        <v>2303</v>
      </c>
      <c r="B106" s="2413"/>
      <c r="C106" s="2413"/>
      <c r="D106" s="2413"/>
      <c r="E106" s="2519" t="s">
        <v>2304</v>
      </c>
      <c r="F106" s="2252"/>
      <c r="G106" s="2516" t="s">
        <v>2299</v>
      </c>
      <c r="H106" s="1043">
        <f>C38</f>
        <v>0</v>
      </c>
      <c r="I106" s="137"/>
    </row>
    <row r="107" spans="1:35" ht="18.75" customHeight="1">
      <c r="A107" s="137"/>
      <c r="B107" s="137"/>
      <c r="C107" s="137"/>
      <c r="D107" s="137"/>
      <c r="E107" s="3107" t="str">
        <f>IF(项目基本情况!E8="已注销","——","3.房地产抵押价值")</f>
        <v>3.房地产抵押价值</v>
      </c>
      <c r="F107" s="3108"/>
      <c r="G107" s="2515" t="s">
        <v>2295</v>
      </c>
      <c r="H107" s="1042">
        <f ca="1">IF(E107="——","——",H101-H103)</f>
        <v>126103</v>
      </c>
      <c r="I107" s="137"/>
    </row>
    <row r="108" spans="1:35" ht="18.75" customHeight="1">
      <c r="A108" s="137"/>
      <c r="B108" s="137"/>
      <c r="C108" s="137"/>
      <c r="D108" s="137"/>
      <c r="E108" s="3107"/>
      <c r="F108" s="3108"/>
      <c r="G108" s="2515" t="s">
        <v>2297</v>
      </c>
      <c r="H108" s="370">
        <f ca="1">ROUND(H107*10000/'数据-汇总表'!E3,0)</f>
        <v>25752</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v>
      </c>
      <c r="F109" s="3108"/>
      <c r="G109" s="2515" t="s">
        <v>2295</v>
      </c>
      <c r="H109" s="347" t="str">
        <f>IF(E109="——","——",H101-H105-H106)</f>
        <v>——</v>
      </c>
      <c r="I109" s="137"/>
    </row>
    <row r="110" spans="1:35" ht="18.75" customHeight="1">
      <c r="A110" s="137"/>
      <c r="B110" s="137"/>
      <c r="C110" s="137"/>
      <c r="D110" s="137"/>
      <c r="E110" s="3107"/>
      <c r="F110" s="3108"/>
      <c r="G110" s="2515" t="s">
        <v>2297</v>
      </c>
      <c r="H110" s="370" t="str">
        <f>IF(H109="——","——",ROUND(H109*10000/'数据-汇总表'!E3,0))</f>
        <v>——</v>
      </c>
      <c r="I110" s="137"/>
    </row>
    <row r="111" spans="1:35" ht="18.75" customHeight="1">
      <c r="A111" s="137"/>
      <c r="B111" s="137"/>
      <c r="C111" s="137"/>
      <c r="D111" s="137"/>
      <c r="E111" s="3142" t="str">
        <f>IF(项目基本情况!E9="抵押净值",IF(OR(项目基本情况!E8="已注销",项目基本情况!E8="房地产抵押价值"),"4.抵押净值","5.抵押净值"),"——")</f>
        <v>——</v>
      </c>
      <c r="F111" s="3143"/>
      <c r="G111" s="2515" t="s">
        <v>2295</v>
      </c>
      <c r="H111" s="1042" t="str">
        <f>IF(E111="——","——",N59)</f>
        <v>——</v>
      </c>
      <c r="I111" s="137"/>
    </row>
    <row r="112" spans="1:35" ht="18.75" customHeight="1" thickBot="1">
      <c r="A112" s="137"/>
      <c r="B112" s="137"/>
      <c r="C112" s="137"/>
      <c r="D112" s="137"/>
      <c r="E112" s="3144"/>
      <c r="F112" s="3145"/>
      <c r="G112" s="2520" t="s">
        <v>2297</v>
      </c>
      <c r="H112" s="788" t="str">
        <f>IF(E111="——","——",N61)</f>
        <v>——</v>
      </c>
      <c r="I112" s="137"/>
    </row>
    <row r="113" spans="1:11" ht="18.75" customHeight="1">
      <c r="A113" s="137"/>
      <c r="B113" s="137"/>
      <c r="C113" s="137"/>
      <c r="D113" s="137"/>
      <c r="E113" s="3112" t="s">
        <v>2303</v>
      </c>
      <c r="F113" s="3112"/>
      <c r="G113" s="3112"/>
      <c r="H113" s="3112"/>
      <c r="I113" s="137"/>
    </row>
    <row r="114" spans="1:11" ht="3.75" customHeight="1">
      <c r="A114" s="2413"/>
      <c r="B114" s="2413"/>
      <c r="C114" s="2413"/>
      <c r="D114" s="2413"/>
      <c r="E114" s="2491"/>
      <c r="F114" s="2491"/>
      <c r="G114" s="2491"/>
      <c r="H114" s="2491"/>
      <c r="I114" s="2413"/>
    </row>
    <row r="115" spans="1:11" ht="18.75" customHeight="1">
      <c r="A115" s="3125" t="s">
        <v>2305</v>
      </c>
      <c r="B115" s="3126"/>
      <c r="C115" s="3126"/>
      <c r="D115" s="3126"/>
      <c r="E115" s="3126"/>
      <c r="F115" s="3126"/>
      <c r="G115" s="3126"/>
      <c r="H115" s="3126"/>
      <c r="I115" s="3127"/>
    </row>
    <row r="116" spans="1:11" ht="27" customHeight="1">
      <c r="A116" s="3018" t="s">
        <v>2306</v>
      </c>
      <c r="B116" s="3113" t="s">
        <v>2307</v>
      </c>
      <c r="C116" s="3113" t="s">
        <v>2308</v>
      </c>
      <c r="D116" s="3129" t="s">
        <v>2309</v>
      </c>
      <c r="E116" s="3130"/>
      <c r="F116" s="3121" t="s">
        <v>2310</v>
      </c>
      <c r="G116" s="3121"/>
      <c r="H116" s="3018" t="s">
        <v>2311</v>
      </c>
      <c r="I116" s="3018"/>
    </row>
    <row r="117" spans="1:11" ht="18.75" customHeight="1">
      <c r="A117" s="3018"/>
      <c r="B117" s="3114"/>
      <c r="C117" s="3114"/>
      <c r="D117" s="1792" t="s">
        <v>2312</v>
      </c>
      <c r="E117" s="1792" t="s">
        <v>2313</v>
      </c>
      <c r="F117" s="1792" t="s">
        <v>2312</v>
      </c>
      <c r="G117" s="1792" t="s">
        <v>2314</v>
      </c>
      <c r="H117" s="1792" t="s">
        <v>2312</v>
      </c>
      <c r="I117" s="1792" t="s">
        <v>2314</v>
      </c>
    </row>
    <row r="118" spans="1:11" ht="24.75" customHeight="1">
      <c r="A118" s="2521" t="str">
        <f>项目基本情况!S2</f>
        <v>北京市北京经济技术开发区荣华中路19号院2号楼-2至10层101房地产</v>
      </c>
      <c r="B118" s="1792">
        <f>M18</f>
        <v>48967.92</v>
      </c>
      <c r="C118" s="1792">
        <f>M19</f>
        <v>8969.4599999999991</v>
      </c>
      <c r="D118" s="1792">
        <f ca="1">ROUND(IF(D32="总价",C34,E118*B118/10000),0)</f>
        <v>67213</v>
      </c>
      <c r="E118" s="1792">
        <f ca="1">ROUND(IF(C33="自定义",IF(D32="楼面单价",C34,D118*10000/B118),I118-G118),0)</f>
        <v>13726</v>
      </c>
      <c r="F118" s="1792">
        <f ca="1">ROUND(IF(D32="总价",C35,G118*B118/10000),0)</f>
        <v>58890</v>
      </c>
      <c r="G118" s="1792">
        <f ca="1">ROUND(IF(D32="楼面单价",C35,F118*10000/B118),0)</f>
        <v>12026</v>
      </c>
      <c r="H118" s="1792">
        <f ca="1">ROUND(IF(D32="总价",C32,I118*B118/10000),0)</f>
        <v>126103</v>
      </c>
      <c r="I118" s="1792">
        <f ca="1">ROUND(IF(D32="楼面单价",C32,H118*10000/B118),0)</f>
        <v>25752</v>
      </c>
    </row>
    <row r="119" spans="1:11" ht="18.75" customHeight="1">
      <c r="A119" s="3018" t="s">
        <v>2315</v>
      </c>
      <c r="B119" s="3018"/>
      <c r="C119" s="3018"/>
      <c r="D119" s="3118" t="str">
        <f ca="1">NUMBERSTRING(INT(D118*10000),2)&amp;"元整"</f>
        <v>陆亿柒仟贰佰壹拾叁万元整</v>
      </c>
      <c r="E119" s="3120"/>
      <c r="F119" s="3118" t="str">
        <f ca="1">NUMBERSTRING(INT(F118*10000),2)&amp;"元整"</f>
        <v>伍亿捌仟捌佰玖拾万元整</v>
      </c>
      <c r="G119" s="3120"/>
      <c r="H119" s="3118" t="str">
        <f ca="1">NUMBERSTRING(INT(H118*10000),2)&amp;"元整"</f>
        <v>壹拾贰亿陆仟壹佰零叁万元整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故，本次评估不存在估价师知悉的法定优先受偿款</v>
      </c>
    </row>
    <row r="121" spans="1:11" ht="18.75" customHeight="1">
      <c r="A121" s="3122" t="s">
        <v>2315</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126103</v>
      </c>
      <c r="E122" s="3147"/>
      <c r="F122" s="3147"/>
      <c r="G122" s="3147"/>
      <c r="H122" s="3147"/>
      <c r="I122" s="3148"/>
    </row>
    <row r="123" spans="1:11" ht="18.75" customHeight="1">
      <c r="A123" s="3018" t="s">
        <v>2315</v>
      </c>
      <c r="B123" s="3018"/>
      <c r="C123" s="3018"/>
      <c r="D123" s="3118" t="str">
        <f ca="1">NUMBERSTRING(INT(D122*10000),2)&amp;"元整"</f>
        <v>壹拾贰亿陆仟壹佰零叁万元整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2315</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2315</v>
      </c>
      <c r="B127" s="3018"/>
      <c r="C127" s="3018"/>
      <c r="D127" s="3118" t="e">
        <f>NUMBERSTRING(INT(D126*10000),2)&amp;"元整"</f>
        <v>#VALUE!</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8"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0" sqref="D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4"/>
      <c r="C1" s="241"/>
      <c r="D1" s="241"/>
      <c r="E1" s="241"/>
      <c r="F1" s="241"/>
      <c r="G1" s="1376">
        <f>MATCH(B1,'数据-取费表'!A6:A16,0)+5</f>
        <v>7</v>
      </c>
    </row>
    <row r="2" spans="1:9" s="243" customFormat="1" ht="18" customHeight="1">
      <c r="A2" s="244" t="s">
        <v>2325</v>
      </c>
      <c r="B2" s="245">
        <f ca="1">IF(D2="——",C52,C52-E2)</f>
        <v>112624</v>
      </c>
      <c r="C2" s="242" t="s">
        <v>2326</v>
      </c>
      <c r="D2" s="2544" t="s">
        <v>70</v>
      </c>
      <c r="E2" s="1437" t="e">
        <f ca="1">SUMIF(INDIRECT("'"&amp;G2&amp;"'"&amp;"!A:A"),"承租人权益价值",INDIRECT("'"&amp;G2&amp;"'"&amp;"!c:c"))</f>
        <v>#REF!</v>
      </c>
      <c r="F2" s="2545" t="s">
        <v>2326</v>
      </c>
      <c r="G2" s="2546"/>
    </row>
    <row r="3" spans="1:9" s="243" customFormat="1" ht="18" customHeight="1" thickBot="1">
      <c r="A3" s="246" t="s">
        <v>2327</v>
      </c>
      <c r="B3" s="247">
        <f ca="1">ROUND(B2*10000/(IF(B1="",'数据-汇总表'!E3,INDIRECT("'数据-取费表'!k"&amp;$G$1))),0)</f>
        <v>23000</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38017</v>
      </c>
      <c r="D5" s="254" t="s">
        <v>2332</v>
      </c>
      <c r="E5" s="255" t="s">
        <v>2333</v>
      </c>
      <c r="F5" s="255" t="s">
        <v>2334</v>
      </c>
      <c r="G5" s="256"/>
    </row>
    <row r="6" spans="1:9" s="257" customFormat="1" ht="13.5" customHeight="1">
      <c r="A6" s="946" t="s">
        <v>2335</v>
      </c>
      <c r="B6" s="258" t="s">
        <v>2336</v>
      </c>
      <c r="C6" s="259">
        <f ca="1">基准地价修正!B2</f>
        <v>35942</v>
      </c>
      <c r="D6" s="260"/>
      <c r="E6" s="261"/>
      <c r="F6" s="261"/>
      <c r="G6" s="262"/>
    </row>
    <row r="7" spans="1:9" s="257" customFormat="1" ht="13.5" customHeight="1">
      <c r="A7" s="946" t="s">
        <v>2337</v>
      </c>
      <c r="B7" s="258" t="s">
        <v>2338</v>
      </c>
      <c r="C7" s="263">
        <f ca="1">ROUND(C6*F7,0)</f>
        <v>1096</v>
      </c>
      <c r="D7" s="263"/>
      <c r="E7" s="261"/>
      <c r="F7" s="264">
        <f>IF(项目基本情况!B8="出让",0,'数据-取费表'!B48+'数据-取费表'!B49)</f>
        <v>3.0499999999999999E-2</v>
      </c>
      <c r="G7" s="262"/>
    </row>
    <row r="8" spans="1:9" s="266" customFormat="1">
      <c r="A8" s="946" t="s">
        <v>2339</v>
      </c>
      <c r="B8" s="258" t="s">
        <v>2340</v>
      </c>
      <c r="C8" s="263">
        <f ca="1">IF(G8="已包含在土地购买价格中","0",IF(B1="",'数据-取费表'!B29,IF(G9="全部缴纳",C9+C10,H9)))</f>
        <v>979</v>
      </c>
      <c r="D8" s="265"/>
      <c r="E8" s="263"/>
      <c r="F8" s="264"/>
      <c r="G8" s="2547" t="s">
        <v>3080</v>
      </c>
    </row>
    <row r="9" spans="1:9" s="257" customFormat="1" ht="13.5" customHeight="1">
      <c r="A9" s="947" t="s">
        <v>800</v>
      </c>
      <c r="B9" s="267" t="s">
        <v>2341</v>
      </c>
      <c r="C9" s="268">
        <f ca="1">ROUND(D9*E9/10000,0)</f>
        <v>0</v>
      </c>
      <c r="D9" s="1029">
        <f ca="1">IF(B1="",'数据-汇总表'!E5,IF(INDIRECT("'数据-取费表'!c"&amp;$G$1)="住宅",INDIRECT("'数据-取费表'!k"&amp;$G$1),0))</f>
        <v>0</v>
      </c>
      <c r="E9" s="268">
        <f>'数据-取费表'!B27</f>
        <v>0</v>
      </c>
      <c r="F9" s="264"/>
      <c r="G9" s="2548" t="s">
        <v>3081</v>
      </c>
      <c r="H9" s="1387"/>
      <c r="I9" s="2549" t="s">
        <v>2342</v>
      </c>
    </row>
    <row r="10" spans="1:9" s="257" customFormat="1" ht="13.5" customHeight="1">
      <c r="A10" s="947" t="s">
        <v>801</v>
      </c>
      <c r="B10" s="267" t="s">
        <v>2343</v>
      </c>
      <c r="C10" s="268">
        <f ca="1">ROUND(D10*E10/10000,0)</f>
        <v>979</v>
      </c>
      <c r="D10" s="1029">
        <f ca="1">IF(B1="",'数据-汇总表'!E6,IF(INDIRECT("'数据-取费表'!c"&amp;$G$1)="住宅",INDIRECT("'数据-取费表'!s"&amp;$G$1),INDIRECT("'数据-取费表'!k"&amp;$G$1)+INDIRECT("'数据-取费表'!s"&amp;$G$1)))</f>
        <v>48967.92</v>
      </c>
      <c r="E10" s="268">
        <f>'数据-取费表'!B28</f>
        <v>200</v>
      </c>
      <c r="F10" s="264"/>
      <c r="G10" s="269"/>
    </row>
    <row r="11" spans="1:9" s="257" customFormat="1" ht="13.5" hidden="1" customHeight="1">
      <c r="A11" s="270" t="s">
        <v>7</v>
      </c>
      <c r="B11" s="258" t="s">
        <v>2344</v>
      </c>
      <c r="C11" s="254"/>
      <c r="D11" s="1031"/>
      <c r="E11" s="261"/>
      <c r="F11" s="261"/>
      <c r="G11" s="262"/>
    </row>
    <row r="12" spans="1:9" s="257" customFormat="1" ht="13.5" hidden="1" customHeight="1">
      <c r="A12" s="270" t="s">
        <v>8</v>
      </c>
      <c r="B12" s="258" t="s">
        <v>2345</v>
      </c>
      <c r="C12" s="254">
        <v>0</v>
      </c>
      <c r="D12" s="1031"/>
      <c r="E12" s="271"/>
      <c r="F12" s="264">
        <v>3.0499999999999999E-2</v>
      </c>
      <c r="G12" s="262"/>
    </row>
    <row r="13" spans="1:9" s="257" customFormat="1" ht="13.5" hidden="1" customHeight="1">
      <c r="A13" s="270" t="s">
        <v>9</v>
      </c>
      <c r="B13" s="258" t="s">
        <v>2346</v>
      </c>
      <c r="C13" s="254"/>
      <c r="D13" s="1031"/>
      <c r="E13" s="261"/>
      <c r="F13" s="261"/>
      <c r="G13" s="262"/>
    </row>
    <row r="14" spans="1:9" s="257" customFormat="1" ht="13.5" hidden="1" customHeight="1">
      <c r="A14" s="270" t="s">
        <v>10</v>
      </c>
      <c r="B14" s="258" t="s">
        <v>2347</v>
      </c>
      <c r="C14" s="254"/>
      <c r="D14" s="1031"/>
      <c r="E14" s="261"/>
      <c r="F14" s="261"/>
      <c r="G14" s="262" t="s">
        <v>2348</v>
      </c>
    </row>
    <row r="15" spans="1:9" s="257" customFormat="1" ht="13.5" hidden="1" customHeight="1">
      <c r="A15" s="270" t="s">
        <v>11</v>
      </c>
      <c r="B15" s="258" t="s">
        <v>2349</v>
      </c>
      <c r="C15" s="263"/>
      <c r="D15" s="1031"/>
      <c r="E15" s="261"/>
      <c r="F15" s="261"/>
      <c r="G15" s="262" t="s">
        <v>2350</v>
      </c>
    </row>
    <row r="16" spans="1:9" s="257" customFormat="1" ht="13.5" hidden="1" customHeight="1">
      <c r="A16" s="270" t="s">
        <v>12</v>
      </c>
      <c r="B16" s="258" t="s">
        <v>2347</v>
      </c>
      <c r="C16" s="263"/>
      <c r="D16" s="1031"/>
      <c r="E16" s="261"/>
      <c r="F16" s="261"/>
      <c r="G16" s="262"/>
    </row>
    <row r="17" spans="1:7" s="257" customFormat="1" ht="13.5" hidden="1" customHeight="1">
      <c r="A17" s="270" t="s">
        <v>13</v>
      </c>
      <c r="B17" s="258" t="s">
        <v>2351</v>
      </c>
      <c r="C17" s="272"/>
      <c r="D17" s="1032"/>
      <c r="E17" s="272"/>
      <c r="F17" s="272"/>
      <c r="G17" s="262" t="s">
        <v>2350</v>
      </c>
    </row>
    <row r="18" spans="1:7" s="257" customFormat="1" ht="13.5" hidden="1" customHeight="1">
      <c r="A18" s="270" t="s">
        <v>14</v>
      </c>
      <c r="B18" s="258" t="s">
        <v>2352</v>
      </c>
      <c r="C18" s="263">
        <v>0</v>
      </c>
      <c r="D18" s="1031"/>
      <c r="E18" s="261"/>
      <c r="F18" s="264">
        <v>3.0499999999999999E-2</v>
      </c>
      <c r="G18" s="262" t="s">
        <v>2353</v>
      </c>
    </row>
    <row r="19" spans="1:7" s="266" customFormat="1" ht="13.5" customHeight="1">
      <c r="A19" s="298" t="s">
        <v>2354</v>
      </c>
      <c r="B19" s="253" t="s">
        <v>2355</v>
      </c>
      <c r="C19" s="254" t="str">
        <f>IF(G19="已包含在土地取得成本中","0",ROUND(D19*E19/10000,0))</f>
        <v>0</v>
      </c>
      <c r="D19" s="1033">
        <f ca="1">D9+D10</f>
        <v>48967.92</v>
      </c>
      <c r="E19" s="254">
        <f>'数据-取费表'!B31</f>
        <v>0</v>
      </c>
      <c r="F19" s="274"/>
      <c r="G19" s="2547" t="s">
        <v>3082</v>
      </c>
    </row>
    <row r="20" spans="1:7" s="257" customFormat="1" ht="13.5" customHeight="1">
      <c r="A20" s="298" t="s">
        <v>2356</v>
      </c>
      <c r="B20" s="253" t="s">
        <v>2357</v>
      </c>
      <c r="C20" s="275">
        <f ca="1">ROUND((C5+C19)*F20,0)</f>
        <v>760</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1">
        <f ca="1">ROUND(SUM(C23:C25),0)</f>
        <v>3733</v>
      </c>
      <c r="D22" s="278">
        <f ca="1">C26</f>
        <v>1E-3</v>
      </c>
      <c r="E22" s="279" t="s">
        <v>2361</v>
      </c>
      <c r="F22" s="280">
        <f ca="1">'数据-取费表'!B40</f>
        <v>4.7500000000000001E-2</v>
      </c>
      <c r="G22" s="277" t="str">
        <f>IF('数据-取费表'!B22&lt;=1,"单利计息","复利计息")</f>
        <v>复利计息</v>
      </c>
    </row>
    <row r="23" spans="1:7" s="257" customFormat="1" ht="13.5" customHeight="1">
      <c r="A23" s="948" t="s">
        <v>2365</v>
      </c>
      <c r="B23" s="258" t="s">
        <v>2366</v>
      </c>
      <c r="C23" s="1352">
        <f ca="1">ROUND(IF('数据-取费表'!B22&lt;=1,C5*F22*'数据-取费表'!B23,C5*(POWER((1+F22),'数据-取费表'!B23)-1)),0)</f>
        <v>3697</v>
      </c>
      <c r="D23" s="281"/>
      <c r="E23" s="281"/>
      <c r="F23" s="282"/>
      <c r="G23" s="283" t="s">
        <v>2367</v>
      </c>
    </row>
    <row r="24" spans="1:7" s="257" customFormat="1" ht="13.5" customHeight="1">
      <c r="A24" s="948" t="s">
        <v>2368</v>
      </c>
      <c r="B24" s="258" t="s">
        <v>2369</v>
      </c>
      <c r="C24" s="1352">
        <f ca="1">ROUND(IF('数据-取费表'!B22&lt;=1,C19*F22*('数据-取费表'!B19/2+'数据-取费表'!B21),C19*(POWER((1+F22),('数据-取费表'!B19/2+'数据-取费表'!B21))-1)),0)</f>
        <v>0</v>
      </c>
      <c r="D24" s="281"/>
      <c r="E24" s="281"/>
      <c r="F24" s="282"/>
      <c r="G24" s="283" t="s">
        <v>2370</v>
      </c>
    </row>
    <row r="25" spans="1:7" s="257" customFormat="1" ht="24">
      <c r="A25" s="948" t="s">
        <v>2371</v>
      </c>
      <c r="B25" s="258" t="s">
        <v>2372</v>
      </c>
      <c r="C25" s="1352">
        <f ca="1">ROUND(IF('数据-取费表'!B22&lt;=1,C20*F22*'数据-取费表'!B23/2,C20*(POWER((1+F22),'数据-取费表'!B23/2)-1)),0)</f>
        <v>36</v>
      </c>
      <c r="D25" s="281"/>
      <c r="E25" s="284"/>
      <c r="F25" s="282"/>
      <c r="G25" s="285" t="s">
        <v>2373</v>
      </c>
    </row>
    <row r="26" spans="1:7" s="257" customFormat="1">
      <c r="A26" s="948"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9694</v>
      </c>
      <c r="D27" s="278">
        <f ca="1">C29</f>
        <v>5.0000000000000001E-3</v>
      </c>
      <c r="E27" s="279" t="s">
        <v>2377</v>
      </c>
      <c r="F27" s="289">
        <f ca="1">IF(B1="",'数据-取费表'!Q16,INDIRECT("'数据-取费表'!q"&amp;$G$1))</f>
        <v>0.25</v>
      </c>
      <c r="G27" s="290" t="s">
        <v>2378</v>
      </c>
    </row>
    <row r="28" spans="1:7" s="257" customFormat="1" ht="13.5" customHeight="1">
      <c r="A28" s="948" t="s">
        <v>791</v>
      </c>
      <c r="B28" s="291" t="s">
        <v>2379</v>
      </c>
      <c r="C28" s="292">
        <f ca="1">ROUND((C5+C19+C20)*F27*'数据-取费表'!B21/'数据-取费表'!B20,0)</f>
        <v>9694</v>
      </c>
      <c r="D28" s="278"/>
      <c r="E28" s="279"/>
      <c r="F28" s="289"/>
      <c r="G28" s="290"/>
    </row>
    <row r="29" spans="1:7" s="257" customFormat="1" ht="13.5" customHeight="1">
      <c r="A29" s="948" t="s">
        <v>792</v>
      </c>
      <c r="B29" s="291" t="s">
        <v>2380</v>
      </c>
      <c r="C29" s="281">
        <f ca="1">ROUND(C21*F27*'数据-取费表'!B21/'数据-取费表'!B20,4)</f>
        <v>5.0000000000000001E-3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56645</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41916</v>
      </c>
      <c r="D33" s="275"/>
      <c r="E33" s="255"/>
      <c r="F33" s="284"/>
      <c r="G33" s="277"/>
    </row>
    <row r="34" spans="1:7" s="301" customFormat="1" ht="13.5" customHeight="1">
      <c r="A34" s="948" t="s">
        <v>791</v>
      </c>
      <c r="B34" s="258" t="s">
        <v>2388</v>
      </c>
      <c r="C34" s="263">
        <f ca="1">IF(B1="",IF(F34=100%,'数据-取费表'!M16,'数据-取费表'!O16),IF(F34=100%,INDIRECT("'数据-取费表'!m"&amp;$G$1)+INDIRECT("'数据-取费表'!t"&amp;$G$1),INDIRECT("'数据-取费表'!o"&amp;$G$1)+INDIRECT("'数据-取费表'!aq"&amp;$G$1)))</f>
        <v>39174</v>
      </c>
      <c r="D34" s="260"/>
      <c r="E34" s="263"/>
      <c r="F34" s="300">
        <f ca="1">IF('数据-取费表'!B24=0,1,IF(B1="",'数据-取费表'!N16,INDIRECT("'数据-取费表'!n"&amp;$G$1)))</f>
        <v>1</v>
      </c>
      <c r="G34" s="262" t="s">
        <v>2389</v>
      </c>
    </row>
    <row r="35" spans="1:7" ht="13.5" customHeight="1">
      <c r="A35" s="948" t="s">
        <v>796</v>
      </c>
      <c r="B35" s="258" t="s">
        <v>2390</v>
      </c>
      <c r="C35" s="263">
        <f ca="1">ROUND(C34*F35,0)</f>
        <v>1175</v>
      </c>
      <c r="D35" s="263"/>
      <c r="E35" s="263"/>
      <c r="F35" s="302">
        <f>'数据-取费表'!B33</f>
        <v>0.03</v>
      </c>
      <c r="G35" s="262" t="s">
        <v>2391</v>
      </c>
    </row>
    <row r="36" spans="1:7" ht="24">
      <c r="A36" s="948"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48" t="s">
        <v>798</v>
      </c>
      <c r="B37" s="258" t="s">
        <v>2394</v>
      </c>
      <c r="C37" s="292">
        <f ca="1">ROUND(E37*D37*F34/10000,0)</f>
        <v>979</v>
      </c>
      <c r="D37" s="260">
        <f ca="1">D19</f>
        <v>48967.92</v>
      </c>
      <c r="E37" s="292">
        <f>'数据-取费表'!B35</f>
        <v>200</v>
      </c>
      <c r="F37" s="302"/>
      <c r="G37" s="304" t="s">
        <v>2395</v>
      </c>
    </row>
    <row r="38" spans="1:7" ht="13.5" customHeight="1">
      <c r="A38" s="948" t="s">
        <v>799</v>
      </c>
      <c r="B38" s="258" t="s">
        <v>2396</v>
      </c>
      <c r="C38" s="263">
        <f ca="1">ROUND(C34*F38,0)</f>
        <v>588</v>
      </c>
      <c r="D38" s="263"/>
      <c r="E38" s="263"/>
      <c r="F38" s="302">
        <f>'数据-取费表'!B36</f>
        <v>1.4999999999999999E-2</v>
      </c>
      <c r="G38" s="262" t="s">
        <v>2391</v>
      </c>
    </row>
    <row r="39" spans="1:7" s="257" customFormat="1" ht="13.5" customHeight="1">
      <c r="A39" s="298" t="s">
        <v>2397</v>
      </c>
      <c r="B39" s="253" t="s">
        <v>2398</v>
      </c>
      <c r="C39" s="275">
        <f ca="1">ROUND(C33*F20,0)</f>
        <v>838</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2031</v>
      </c>
      <c r="D41" s="278">
        <f ca="1">C44</f>
        <v>1E-3</v>
      </c>
      <c r="E41" s="279" t="s">
        <v>2402</v>
      </c>
      <c r="F41" s="280"/>
      <c r="G41" s="277" t="str">
        <f>IF('数据-取费表'!B22&lt;=1,"单利计息","复利计息")</f>
        <v>复利计息</v>
      </c>
    </row>
    <row r="42" spans="1:7" ht="13.5" customHeight="1">
      <c r="A42" s="948" t="s">
        <v>791</v>
      </c>
      <c r="B42" s="258" t="s">
        <v>2406</v>
      </c>
      <c r="C42" s="281">
        <f ca="1">ROUND(IF('数据-取费表'!B22&lt;=1,C33*F22*'数据-取费表'!B21/2,C33*(POWER((1+F22),'数据-取费表'!B21/2)-1)),0)</f>
        <v>1991</v>
      </c>
      <c r="D42" s="281"/>
      <c r="E42" s="281"/>
      <c r="F42" s="282"/>
      <c r="G42" s="3160" t="s">
        <v>2407</v>
      </c>
    </row>
    <row r="43" spans="1:7" ht="13.5" customHeight="1">
      <c r="A43" s="948" t="s">
        <v>792</v>
      </c>
      <c r="B43" s="258" t="s">
        <v>2408</v>
      </c>
      <c r="C43" s="281">
        <f ca="1">ROUND(IF('数据-取费表'!B22&lt;=1,C39*F22*'数据-取费表'!B21/2,C39*(POWER((1+F22),'数据-取费表'!B21/2)-1)),0)</f>
        <v>40</v>
      </c>
      <c r="D43" s="281"/>
      <c r="E43" s="281"/>
      <c r="F43" s="282"/>
      <c r="G43" s="3161"/>
    </row>
    <row r="44" spans="1:7" ht="13.5" customHeight="1">
      <c r="A44" s="948" t="s">
        <v>793</v>
      </c>
      <c r="B44" s="258" t="s">
        <v>2409</v>
      </c>
      <c r="C44" s="281">
        <f ca="1">ROUND(IF('数据-取费表'!B22&lt;=1,C40*F22*'数据-取费表'!B21/2,C40*(POWER((1+F22),'数据-取费表'!B21/2)-1)),4)</f>
        <v>1E-3</v>
      </c>
      <c r="D44" s="281"/>
      <c r="E44" s="281"/>
      <c r="F44" s="282"/>
      <c r="G44" s="3162"/>
    </row>
    <row r="45" spans="1:7" s="257" customFormat="1" ht="13.5" customHeight="1">
      <c r="A45" s="298" t="s">
        <v>2410</v>
      </c>
      <c r="B45" s="287" t="s">
        <v>2376</v>
      </c>
      <c r="C45" s="288">
        <f ca="1">C46</f>
        <v>10689</v>
      </c>
      <c r="D45" s="278">
        <f ca="1">C47</f>
        <v>5.0000000000000001E-3</v>
      </c>
      <c r="E45" s="279" t="s">
        <v>2402</v>
      </c>
      <c r="F45" s="289"/>
      <c r="G45" s="290" t="s">
        <v>2411</v>
      </c>
    </row>
    <row r="46" spans="1:7" s="257" customFormat="1" ht="13.5" customHeight="1">
      <c r="A46" s="948" t="s">
        <v>791</v>
      </c>
      <c r="B46" s="291" t="s">
        <v>2412</v>
      </c>
      <c r="C46" s="292">
        <f ca="1">ROUND((C33+C39)*F27,0)</f>
        <v>10689</v>
      </c>
      <c r="D46" s="306"/>
      <c r="E46" s="279"/>
      <c r="F46" s="289"/>
      <c r="G46" s="290"/>
    </row>
    <row r="47" spans="1:7" s="257" customFormat="1" ht="13.5" customHeight="1">
      <c r="A47" s="948" t="s">
        <v>792</v>
      </c>
      <c r="B47" s="291" t="s">
        <v>2413</v>
      </c>
      <c r="C47" s="281">
        <f ca="1">ROUND(C40*F27,4)</f>
        <v>5.0000000000000001E-3</v>
      </c>
      <c r="D47" s="306"/>
      <c r="E47" s="279"/>
      <c r="F47" s="289"/>
      <c r="G47" s="290"/>
    </row>
    <row r="48" spans="1:7" s="257" customFormat="1" ht="13.5" customHeight="1">
      <c r="A48" s="298" t="s">
        <v>2375</v>
      </c>
      <c r="B48" s="253" t="s">
        <v>2414</v>
      </c>
      <c r="C48" s="1725">
        <f>ROUND(F30/(1+'数据-取费表'!C42),4)</f>
        <v>5.2400000000000002E-2</v>
      </c>
      <c r="D48" s="279" t="s">
        <v>2402</v>
      </c>
      <c r="E48" s="275"/>
      <c r="F48" s="280"/>
      <c r="G48" s="277" t="s">
        <v>2415</v>
      </c>
    </row>
    <row r="49" spans="1:7" ht="16.5" customHeight="1">
      <c r="A49" s="298" t="s">
        <v>2381</v>
      </c>
      <c r="B49" s="253" t="s">
        <v>2416</v>
      </c>
      <c r="C49" s="275">
        <f ca="1">ROUND((C33+C39+C41+C45)/(1-C40-D41-D45-C48),0)</f>
        <v>60193</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55979</v>
      </c>
      <c r="D51" s="275"/>
      <c r="E51" s="275"/>
      <c r="F51" s="307"/>
      <c r="G51" s="277" t="s">
        <v>2423</v>
      </c>
    </row>
    <row r="52" spans="1:7" s="251" customFormat="1" ht="16.5" thickBot="1">
      <c r="A52" s="308" t="s">
        <v>2424</v>
      </c>
      <c r="B52" s="309"/>
      <c r="C52" s="310">
        <f ca="1">C31+C51</f>
        <v>112624</v>
      </c>
      <c r="D52" s="309"/>
      <c r="E52" s="309"/>
      <c r="F52" s="309"/>
      <c r="G52" s="311"/>
    </row>
    <row r="55" spans="1:7" ht="15">
      <c r="B55" s="313" t="s">
        <v>2425</v>
      </c>
      <c r="C55" s="314"/>
    </row>
    <row r="56" spans="1:7">
      <c r="B56" s="316" t="s">
        <v>1509</v>
      </c>
      <c r="C56" s="318">
        <f ca="1">1-C57</f>
        <v>0.503</v>
      </c>
    </row>
    <row r="57" spans="1:7">
      <c r="B57" s="316" t="s">
        <v>1510</v>
      </c>
      <c r="C57" s="317">
        <f ca="1">ROUND(C51/C52,3)</f>
        <v>0.497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4" t="str">
        <f>项目基本情况!B1</f>
        <v>北京市北京经济技术开发区荣华中路19号院2号楼-2至10层101房地产抵押价值预评估</v>
      </c>
      <c r="C37" s="2974"/>
      <c r="D37" s="2974"/>
      <c r="E37" s="2974"/>
      <c r="F37" s="2974"/>
      <c r="G37" s="2974"/>
      <c r="H37" s="2974"/>
      <c r="I37" s="2974"/>
    </row>
    <row r="38" spans="1:9">
      <c r="A38" s="1013"/>
      <c r="B38" s="1013"/>
    </row>
    <row r="39" spans="1:9">
      <c r="A39" s="1011" t="s">
        <v>818</v>
      </c>
      <c r="B39" s="1011" t="s">
        <v>820</v>
      </c>
    </row>
    <row r="40" spans="1:9">
      <c r="A40" s="1011"/>
      <c r="B40" s="1939" t="str">
        <f>项目基本情况!B5</f>
        <v>中国农业银行股份有限公司北京经济技术开发区支行</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康正预评字2019-1-0382-P01DYGJ2号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4"/>
      <c r="C1" s="2550" t="s">
        <v>2426</v>
      </c>
      <c r="D1" s="241"/>
      <c r="E1" s="241"/>
      <c r="F1" s="241"/>
      <c r="G1" s="1376">
        <f>MATCH(B1,'数据-取费表'!A6:A16,0)+5</f>
        <v>7</v>
      </c>
      <c r="H1" s="1279" t="str">
        <f>IF(ISERROR(FIND("住宅",B1)),"非住宅","住宅")</f>
        <v>非住宅</v>
      </c>
    </row>
    <row r="2" spans="1:8" s="243" customFormat="1" ht="18" customHeight="1">
      <c r="A2" s="244" t="s">
        <v>2325</v>
      </c>
      <c r="B2" s="245">
        <f ca="1">ROUND(IF(D2="——",C52/10000,C52/10000-E2),0)</f>
        <v>57439</v>
      </c>
      <c r="C2" s="242" t="s">
        <v>2326</v>
      </c>
      <c r="D2" s="2544" t="s">
        <v>70</v>
      </c>
      <c r="E2" s="1437" t="e">
        <f ca="1">SUMIF(INDIRECT("'"&amp;G2&amp;"'"&amp;"!A:A"),"承租人权益价值",INDIRECT("'"&amp;G2&amp;"'"&amp;"!c:c"))</f>
        <v>#REF!</v>
      </c>
      <c r="F2" s="2545" t="s">
        <v>2326</v>
      </c>
      <c r="G2" s="2546"/>
    </row>
    <row r="3" spans="1:8" s="243" customFormat="1" ht="18" customHeight="1" thickBot="1">
      <c r="A3" s="246" t="s">
        <v>2327</v>
      </c>
      <c r="B3" s="247">
        <f ca="1">ROUND(B2*10000/(IF(B1="",'数据-汇总表'!E3,INDIRECT("'数据-取费表'!k"&amp;$G$1))),0)</f>
        <v>11730</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9793584</v>
      </c>
      <c r="D5" s="254" t="s">
        <v>2332</v>
      </c>
      <c r="E5" s="255" t="s">
        <v>2333</v>
      </c>
      <c r="F5" s="255" t="s">
        <v>2334</v>
      </c>
      <c r="G5" s="256"/>
    </row>
    <row r="6" spans="1:8" s="257" customFormat="1" ht="13.5" customHeight="1">
      <c r="A6" s="946" t="s">
        <v>2335</v>
      </c>
      <c r="B6" s="258" t="s">
        <v>2336</v>
      </c>
      <c r="C6" s="259"/>
      <c r="D6" s="260"/>
      <c r="E6" s="261"/>
      <c r="F6" s="261"/>
      <c r="G6" s="262"/>
    </row>
    <row r="7" spans="1:8" s="257" customFormat="1" ht="13.5" customHeight="1">
      <c r="A7" s="946" t="s">
        <v>2337</v>
      </c>
      <c r="B7" s="258" t="s">
        <v>2338</v>
      </c>
      <c r="C7" s="263">
        <f>ROUND(C6*F7,0)</f>
        <v>0</v>
      </c>
      <c r="D7" s="263"/>
      <c r="E7" s="261"/>
      <c r="F7" s="264">
        <f>IF(项目基本情况!B8="出让",0,'数据-取费表'!B48+'数据-取费表'!B49)</f>
        <v>3.0499999999999999E-2</v>
      </c>
      <c r="G7" s="262"/>
    </row>
    <row r="8" spans="1:8" s="266" customFormat="1">
      <c r="A8" s="946" t="s">
        <v>2339</v>
      </c>
      <c r="B8" s="258" t="s">
        <v>2340</v>
      </c>
      <c r="C8" s="263">
        <f ca="1">IF(G8="已包含在土地购买价格中",0,C9+C10)</f>
        <v>9793584</v>
      </c>
      <c r="D8" s="265"/>
      <c r="E8" s="263"/>
      <c r="F8" s="264"/>
      <c r="G8" s="2547"/>
    </row>
    <row r="9" spans="1:8" s="257" customFormat="1" ht="13.5" customHeight="1">
      <c r="A9" s="947" t="s">
        <v>800</v>
      </c>
      <c r="B9" s="267" t="s">
        <v>2341</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2343</v>
      </c>
      <c r="C10" s="268">
        <f ca="1">ROUND(D10*E10,0)</f>
        <v>9793584</v>
      </c>
      <c r="D10" s="1029">
        <f ca="1">IF(B1="",'数据-汇总表'!E6,IF(INDIRECT("'数据-取费表'!c"&amp;$G$1)="住宅",INDIRECT("'数据-取费表'!s"&amp;$G$1),INDIRECT("'数据-取费表'!k"&amp;$G$1)+INDIRECT("'数据-取费表'!s"&amp;$G$1)))</f>
        <v>48967.92</v>
      </c>
      <c r="E10" s="268">
        <f>'数据-取费表'!B28</f>
        <v>200</v>
      </c>
      <c r="F10" s="264"/>
      <c r="G10" s="269"/>
    </row>
    <row r="11" spans="1:8" s="257" customFormat="1" ht="13.5" hidden="1" customHeight="1">
      <c r="A11" s="270" t="s">
        <v>7</v>
      </c>
      <c r="B11" s="258" t="s">
        <v>2344</v>
      </c>
      <c r="C11" s="254"/>
      <c r="D11" s="1031"/>
      <c r="E11" s="261"/>
      <c r="F11" s="261"/>
      <c r="G11" s="262"/>
    </row>
    <row r="12" spans="1:8" s="257" customFormat="1" ht="13.5" hidden="1" customHeight="1">
      <c r="A12" s="270" t="s">
        <v>8</v>
      </c>
      <c r="B12" s="258" t="s">
        <v>2427</v>
      </c>
      <c r="C12" s="254">
        <v>0</v>
      </c>
      <c r="D12" s="1031"/>
      <c r="E12" s="271"/>
      <c r="F12" s="264">
        <v>3.0499999999999999E-2</v>
      </c>
      <c r="G12" s="262"/>
    </row>
    <row r="13" spans="1:8" s="257" customFormat="1" ht="13.5" hidden="1" customHeight="1">
      <c r="A13" s="270" t="s">
        <v>9</v>
      </c>
      <c r="B13" s="258" t="s">
        <v>2428</v>
      </c>
      <c r="C13" s="254"/>
      <c r="D13" s="1031"/>
      <c r="E13" s="261"/>
      <c r="F13" s="261"/>
      <c r="G13" s="262"/>
    </row>
    <row r="14" spans="1:8" s="257" customFormat="1" ht="13.5" hidden="1" customHeight="1">
      <c r="A14" s="270" t="s">
        <v>10</v>
      </c>
      <c r="B14" s="258" t="s">
        <v>2340</v>
      </c>
      <c r="C14" s="254"/>
      <c r="D14" s="1031"/>
      <c r="E14" s="261"/>
      <c r="F14" s="261"/>
      <c r="G14" s="262" t="s">
        <v>2429</v>
      </c>
    </row>
    <row r="15" spans="1:8" s="257" customFormat="1" ht="13.5" hidden="1" customHeight="1">
      <c r="A15" s="270" t="s">
        <v>11</v>
      </c>
      <c r="B15" s="258" t="s">
        <v>2430</v>
      </c>
      <c r="C15" s="263"/>
      <c r="D15" s="1031"/>
      <c r="E15" s="261"/>
      <c r="F15" s="261"/>
      <c r="G15" s="262" t="s">
        <v>2431</v>
      </c>
    </row>
    <row r="16" spans="1:8" s="257" customFormat="1" ht="13.5" hidden="1" customHeight="1">
      <c r="A16" s="270" t="s">
        <v>12</v>
      </c>
      <c r="B16" s="258" t="s">
        <v>2340</v>
      </c>
      <c r="C16" s="263"/>
      <c r="D16" s="1031"/>
      <c r="E16" s="261"/>
      <c r="F16" s="261"/>
      <c r="G16" s="262"/>
    </row>
    <row r="17" spans="1:7" s="257" customFormat="1" ht="13.5" hidden="1" customHeight="1">
      <c r="A17" s="270" t="s">
        <v>13</v>
      </c>
      <c r="B17" s="258" t="s">
        <v>2432</v>
      </c>
      <c r="C17" s="272"/>
      <c r="D17" s="1032"/>
      <c r="E17" s="272"/>
      <c r="F17" s="272"/>
      <c r="G17" s="262" t="s">
        <v>2431</v>
      </c>
    </row>
    <row r="18" spans="1:7" s="257" customFormat="1" ht="13.5" hidden="1" customHeight="1">
      <c r="A18" s="270" t="s">
        <v>14</v>
      </c>
      <c r="B18" s="258" t="s">
        <v>2433</v>
      </c>
      <c r="C18" s="263">
        <v>0</v>
      </c>
      <c r="D18" s="1031"/>
      <c r="E18" s="261"/>
      <c r="F18" s="264">
        <v>3.0499999999999999E-2</v>
      </c>
      <c r="G18" s="262" t="s">
        <v>2434</v>
      </c>
    </row>
    <row r="19" spans="1:7" s="266" customFormat="1" ht="13.5" customHeight="1">
      <c r="A19" s="298" t="s">
        <v>2435</v>
      </c>
      <c r="B19" s="253" t="s">
        <v>2436</v>
      </c>
      <c r="C19" s="254">
        <f ca="1">IF(G19="已包含在土地取得成本中","0",ROUND(D19*E19,0))</f>
        <v>0</v>
      </c>
      <c r="D19" s="1033">
        <f ca="1">D9+D10</f>
        <v>48967.92</v>
      </c>
      <c r="E19" s="254">
        <f>'数据-取费表'!B31</f>
        <v>0</v>
      </c>
      <c r="F19" s="274"/>
      <c r="G19" s="2547"/>
    </row>
    <row r="20" spans="1:7" s="257" customFormat="1" ht="13.5" customHeight="1">
      <c r="A20" s="298" t="s">
        <v>2437</v>
      </c>
      <c r="B20" s="253" t="s">
        <v>2438</v>
      </c>
      <c r="C20" s="275">
        <f ca="1">ROUND((C5+C19)*F20,0)</f>
        <v>195872</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7">
        <f ca="1">ROUND(SUM(C23:C25),0)</f>
        <v>961791</v>
      </c>
      <c r="D22" s="278">
        <f ca="1">C26</f>
        <v>1E-3</v>
      </c>
      <c r="E22" s="279" t="s">
        <v>2442</v>
      </c>
      <c r="F22" s="280">
        <f ca="1">'数据-取费表'!B40</f>
        <v>4.7500000000000001E-2</v>
      </c>
      <c r="G22" s="277" t="str">
        <f>IF('数据-取费表'!B22&lt;=1,"单利计息","复利计息")</f>
        <v>复利计息</v>
      </c>
    </row>
    <row r="23" spans="1:7" s="257" customFormat="1" ht="13.5" customHeight="1">
      <c r="A23" s="948" t="s">
        <v>2335</v>
      </c>
      <c r="B23" s="258" t="s">
        <v>2446</v>
      </c>
      <c r="C23" s="1378">
        <f ca="1">ROUND(IF('数据-取费表'!B22&lt;=1,C5*F22*'数据-取费表'!B22,C5*(POWER((1+F22),'数据-取费表'!B22)-1)),0)</f>
        <v>952487</v>
      </c>
      <c r="D23" s="281"/>
      <c r="E23" s="281"/>
      <c r="F23" s="282"/>
      <c r="G23" s="283" t="s">
        <v>2447</v>
      </c>
    </row>
    <row r="24" spans="1:7" s="257" customFormat="1" ht="13.5" customHeight="1">
      <c r="A24" s="948" t="s">
        <v>2337</v>
      </c>
      <c r="B24" s="258" t="s">
        <v>2448</v>
      </c>
      <c r="C24" s="1378">
        <f ca="1">ROUND(IF('数据-取费表'!B22&lt;=1,C19*F22*('数据-取费表'!B19/2+'数据-取费表'!B20),C19*(POWER((1+F22),('数据-取费表'!B19/2+'数据-取费表'!B20))-1)),0)</f>
        <v>0</v>
      </c>
      <c r="D24" s="281"/>
      <c r="E24" s="281"/>
      <c r="F24" s="282"/>
      <c r="G24" s="283" t="s">
        <v>2449</v>
      </c>
    </row>
    <row r="25" spans="1:7" s="257" customFormat="1" ht="24">
      <c r="A25" s="948" t="s">
        <v>2339</v>
      </c>
      <c r="B25" s="258" t="s">
        <v>2450</v>
      </c>
      <c r="C25" s="1378">
        <f ca="1">ROUND(IF('数据-取费表'!B22&lt;=1,C20*F22*'数据-取费表'!B22/2,C20*(POWER((1+F22),'数据-取费表'!B22/2)-1)),0)</f>
        <v>9304</v>
      </c>
      <c r="D25" s="281"/>
      <c r="E25" s="284"/>
      <c r="F25" s="282"/>
      <c r="G25" s="285" t="s">
        <v>2451</v>
      </c>
    </row>
    <row r="26" spans="1:7" s="257" customFormat="1">
      <c r="A26" s="948"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2497364</v>
      </c>
      <c r="D27" s="278">
        <f ca="1">C29</f>
        <v>5.0000000000000001E-3</v>
      </c>
      <c r="E27" s="279" t="s">
        <v>2377</v>
      </c>
      <c r="F27" s="289">
        <f ca="1">IF(B1="",'数据-取费表'!Q16,INDIRECT("'数据-取费表'!q"&amp;$G$1))</f>
        <v>0.25</v>
      </c>
      <c r="G27" s="290" t="s">
        <v>2378</v>
      </c>
    </row>
    <row r="28" spans="1:7" s="257" customFormat="1" ht="13.5" customHeight="1">
      <c r="A28" s="948" t="s">
        <v>791</v>
      </c>
      <c r="B28" s="291" t="s">
        <v>2379</v>
      </c>
      <c r="C28" s="292">
        <f ca="1">ROUND((C5+C19+C20)*F27,0)</f>
        <v>2497364</v>
      </c>
      <c r="D28" s="278"/>
      <c r="E28" s="279"/>
      <c r="F28" s="289"/>
      <c r="G28" s="290"/>
    </row>
    <row r="29" spans="1:7" s="257" customFormat="1" ht="13.5" customHeight="1">
      <c r="A29" s="948" t="s">
        <v>792</v>
      </c>
      <c r="B29" s="291" t="s">
        <v>2380</v>
      </c>
      <c r="C29" s="281">
        <f ca="1">ROUND(C21*F27,4)</f>
        <v>5.0000000000000001E-3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14592677</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419165395</v>
      </c>
      <c r="D33" s="275"/>
      <c r="E33" s="255"/>
      <c r="F33" s="284"/>
      <c r="G33" s="277"/>
    </row>
    <row r="34" spans="1:7" s="301" customFormat="1" ht="13.5" customHeight="1">
      <c r="A34" s="948" t="s">
        <v>791</v>
      </c>
      <c r="B34" s="258" t="s">
        <v>2388</v>
      </c>
      <c r="C34" s="263">
        <f ca="1">ROUND(IF(B1="",SUMPRODUCT('数据-取费表'!K6:K14,'数据-取费表'!L6:L14),INDIRECT("'数据-取费表'!l"&amp;$G$1)*INDIRECT("'数据-取费表'!k"&amp;$G$1)+'数据-取费表'!L14*INDIRECT("'数据-取费表'!S"&amp;$G$1)),0)</f>
        <v>391743360</v>
      </c>
      <c r="D34" s="260"/>
      <c r="E34" s="263"/>
      <c r="F34" s="300"/>
      <c r="G34" s="262"/>
    </row>
    <row r="35" spans="1:7" ht="13.5" customHeight="1">
      <c r="A35" s="948" t="s">
        <v>796</v>
      </c>
      <c r="B35" s="258" t="s">
        <v>2390</v>
      </c>
      <c r="C35" s="263">
        <f ca="1">ROUND(C34*F35,0)</f>
        <v>11752301</v>
      </c>
      <c r="D35" s="263"/>
      <c r="E35" s="263"/>
      <c r="F35" s="302">
        <f>'数据-取费表'!B33</f>
        <v>0.03</v>
      </c>
      <c r="G35" s="262" t="s">
        <v>2391</v>
      </c>
    </row>
    <row r="36" spans="1:7" ht="24">
      <c r="A36" s="948"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48" t="s">
        <v>798</v>
      </c>
      <c r="B37" s="258" t="s">
        <v>2394</v>
      </c>
      <c r="C37" s="292">
        <f ca="1">ROUND(E37*D37,0)</f>
        <v>9793584</v>
      </c>
      <c r="D37" s="260">
        <f ca="1">D19</f>
        <v>48967.92</v>
      </c>
      <c r="E37" s="292">
        <f>'数据-取费表'!B35</f>
        <v>200</v>
      </c>
      <c r="F37" s="302"/>
      <c r="G37" s="304"/>
    </row>
    <row r="38" spans="1:7" ht="13.5" customHeight="1">
      <c r="A38" s="948" t="s">
        <v>799</v>
      </c>
      <c r="B38" s="258" t="s">
        <v>2396</v>
      </c>
      <c r="C38" s="263">
        <f ca="1">ROUND(C34*F38,0)</f>
        <v>5876150</v>
      </c>
      <c r="D38" s="263"/>
      <c r="E38" s="263"/>
      <c r="F38" s="302">
        <f>'数据-取费表'!B36</f>
        <v>1.4999999999999999E-2</v>
      </c>
      <c r="G38" s="262" t="s">
        <v>2391</v>
      </c>
    </row>
    <row r="39" spans="1:7" s="257" customFormat="1" ht="13.5" customHeight="1">
      <c r="A39" s="298" t="s">
        <v>2397</v>
      </c>
      <c r="B39" s="253" t="s">
        <v>2398</v>
      </c>
      <c r="C39" s="275">
        <f ca="1">ROUND(C33*F20,0)</f>
        <v>8383308</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20308563</v>
      </c>
      <c r="D41" s="278">
        <f ca="1">C44</f>
        <v>1E-3</v>
      </c>
      <c r="E41" s="279" t="s">
        <v>2402</v>
      </c>
      <c r="F41" s="280"/>
      <c r="G41" s="277" t="str">
        <f>IF('数据-取费表'!B22&lt;=1,"单利计息","复利计息")</f>
        <v>复利计息</v>
      </c>
    </row>
    <row r="42" spans="1:7" ht="13.5" customHeight="1">
      <c r="A42" s="948" t="s">
        <v>791</v>
      </c>
      <c r="B42" s="258" t="s">
        <v>2406</v>
      </c>
      <c r="C42" s="281">
        <f ca="1">ROUND(IF('数据-取费表'!B22&lt;=1,C33*F22*'数据-取费表'!B20/2,C33*(POWER((1+F22),'数据-取费表'!B20/2)-1)),0)</f>
        <v>19910356</v>
      </c>
      <c r="D42" s="281"/>
      <c r="E42" s="281"/>
      <c r="F42" s="282"/>
      <c r="G42" s="3160" t="s">
        <v>2454</v>
      </c>
    </row>
    <row r="43" spans="1:7" ht="13.5" customHeight="1">
      <c r="A43" s="948" t="s">
        <v>792</v>
      </c>
      <c r="B43" s="258" t="s">
        <v>2408</v>
      </c>
      <c r="C43" s="281">
        <f ca="1">ROUND(IF('数据-取费表'!B22&lt;=1,C39*F22*'数据-取费表'!B20/2,C39*(POWER((1+F22),'数据-取费表'!B20/2)-1)),0)</f>
        <v>398207</v>
      </c>
      <c r="D43" s="281"/>
      <c r="E43" s="281"/>
      <c r="F43" s="282"/>
      <c r="G43" s="3161"/>
    </row>
    <row r="44" spans="1:7" ht="13.5" customHeight="1">
      <c r="A44" s="948" t="s">
        <v>793</v>
      </c>
      <c r="B44" s="258" t="s">
        <v>2409</v>
      </c>
      <c r="C44" s="281">
        <f ca="1">ROUND(IF('数据-取费表'!B22&lt;=1,C40*F22*'数据-取费表'!B20/2,C40*(POWER((1+F22),'数据-取费表'!B20/2)-1)),4)</f>
        <v>1E-3</v>
      </c>
      <c r="D44" s="281"/>
      <c r="E44" s="281"/>
      <c r="F44" s="282"/>
      <c r="G44" s="3162"/>
    </row>
    <row r="45" spans="1:7" s="257" customFormat="1" ht="13.5" customHeight="1">
      <c r="A45" s="298" t="s">
        <v>2410</v>
      </c>
      <c r="B45" s="287" t="s">
        <v>2376</v>
      </c>
      <c r="C45" s="288">
        <f ca="1">C46</f>
        <v>106887176</v>
      </c>
      <c r="D45" s="278">
        <f ca="1">C47</f>
        <v>5.0000000000000001E-3</v>
      </c>
      <c r="E45" s="279" t="s">
        <v>2402</v>
      </c>
      <c r="F45" s="289"/>
      <c r="G45" s="290" t="s">
        <v>2411</v>
      </c>
    </row>
    <row r="46" spans="1:7" s="257" customFormat="1" ht="13.5" customHeight="1">
      <c r="A46" s="948" t="s">
        <v>791</v>
      </c>
      <c r="B46" s="291" t="s">
        <v>2412</v>
      </c>
      <c r="C46" s="292">
        <f ca="1">ROUND((C33+C39)*F27,0)</f>
        <v>106887176</v>
      </c>
      <c r="D46" s="306"/>
      <c r="E46" s="279"/>
      <c r="F46" s="289"/>
      <c r="G46" s="290"/>
    </row>
    <row r="47" spans="1:7" s="257" customFormat="1" ht="13.5" customHeight="1">
      <c r="A47" s="948" t="s">
        <v>792</v>
      </c>
      <c r="B47" s="291" t="s">
        <v>2413</v>
      </c>
      <c r="C47" s="281">
        <f ca="1">ROUND(C40*F27,4)</f>
        <v>5.0000000000000001E-3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601936243</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559800706</v>
      </c>
      <c r="D51" s="275"/>
      <c r="E51" s="275"/>
      <c r="F51" s="307"/>
      <c r="G51" s="277" t="s">
        <v>2423</v>
      </c>
    </row>
    <row r="52" spans="1:7" s="251" customFormat="1" ht="16.5" thickBot="1">
      <c r="A52" s="308" t="s">
        <v>2424</v>
      </c>
      <c r="B52" s="309"/>
      <c r="C52" s="310">
        <f ca="1">C31+C51</f>
        <v>574393383</v>
      </c>
      <c r="D52" s="309"/>
      <c r="E52" s="309"/>
      <c r="F52" s="309"/>
      <c r="G52" s="311"/>
    </row>
    <row r="55" spans="1:7" ht="15">
      <c r="B55" s="313" t="s">
        <v>2425</v>
      </c>
      <c r="C55" s="314"/>
    </row>
    <row r="56" spans="1:7">
      <c r="B56" s="316" t="s">
        <v>1509</v>
      </c>
      <c r="C56" s="318">
        <f ca="1">1-C57</f>
        <v>2.5000000000000022E-2</v>
      </c>
    </row>
    <row r="57" spans="1:7">
      <c r="B57" s="316" t="s">
        <v>1510</v>
      </c>
      <c r="C57" s="317">
        <f ca="1">ROUND(C51/C52,3)</f>
        <v>0.97499999999999998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2457</v>
      </c>
      <c r="B1" s="1578"/>
      <c r="C1" s="1579"/>
      <c r="D1" s="1577"/>
      <c r="E1" s="319"/>
      <c r="F1" s="319"/>
      <c r="G1" s="1578"/>
      <c r="H1" s="319"/>
      <c r="I1" s="319"/>
      <c r="J1" s="319"/>
      <c r="K1" s="319">
        <f>MATCH(C1,'数据-取费表'!A6:A16,0)+5</f>
        <v>7</v>
      </c>
    </row>
    <row r="2" spans="1:33" ht="18" customHeight="1">
      <c r="A2" s="244" t="s">
        <v>2325</v>
      </c>
      <c r="B2" s="247">
        <f ca="1">C32</f>
        <v>-1214</v>
      </c>
      <c r="C2" s="319" t="s">
        <v>2458</v>
      </c>
      <c r="D2" s="319"/>
      <c r="E2" s="319"/>
      <c r="F2" s="319"/>
      <c r="G2" s="319"/>
      <c r="H2" s="319"/>
      <c r="I2" s="319"/>
      <c r="J2" s="319"/>
      <c r="K2" s="319"/>
    </row>
    <row r="3" spans="1:33" ht="18" customHeight="1" thickBot="1">
      <c r="A3" s="246" t="s">
        <v>2327</v>
      </c>
      <c r="B3" s="247">
        <f ca="1">ROUND(B2*10000/IF(C1="",'数据-汇总表'!E3,INDIRECT("'数据-取费表'!K"&amp;$K$1)),0)</f>
        <v>-248</v>
      </c>
      <c r="C3" s="319" t="s">
        <v>2459</v>
      </c>
      <c r="D3" s="319"/>
      <c r="E3" s="319"/>
      <c r="F3" s="319"/>
      <c r="G3" s="319"/>
      <c r="H3" s="319"/>
      <c r="I3" s="319"/>
      <c r="J3" s="319"/>
      <c r="K3" s="319"/>
    </row>
    <row r="4" spans="1:33" s="953" customFormat="1" ht="16.5" customHeight="1">
      <c r="A4" s="950" t="s">
        <v>2460</v>
      </c>
      <c r="B4" s="951"/>
      <c r="C4" s="993">
        <f>SUM(C8:K8)</f>
        <v>0</v>
      </c>
      <c r="D4" s="951"/>
      <c r="E4" s="951"/>
      <c r="F4" s="951"/>
      <c r="G4" s="951"/>
      <c r="H4" s="951"/>
      <c r="I4" s="951"/>
      <c r="J4" s="951"/>
      <c r="K4" s="952"/>
    </row>
    <row r="5" spans="1:33" s="957" customFormat="1" ht="24.75">
      <c r="A5" s="954" t="s">
        <v>2461</v>
      </c>
      <c r="B5" s="955" t="s">
        <v>2462</v>
      </c>
      <c r="C5" s="2551" t="s">
        <v>2463</v>
      </c>
      <c r="D5" s="2551" t="s">
        <v>2464</v>
      </c>
      <c r="E5" s="2551" t="s">
        <v>2465</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2469</v>
      </c>
      <c r="B8" s="176"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1330</v>
      </c>
      <c r="B11" s="969" t="s">
        <v>2478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2479</v>
      </c>
      <c r="C12" s="24">
        <f ca="1">ROUND(C11*F12,0)</f>
        <v>0</v>
      </c>
      <c r="D12" s="970"/>
      <c r="E12" s="374"/>
      <c r="F12" s="973">
        <f>'数据-取费表'!B33</f>
        <v>0.03</v>
      </c>
      <c r="G12" s="8" t="s">
        <v>2480</v>
      </c>
      <c r="H12" s="965"/>
      <c r="I12" s="965"/>
      <c r="J12" s="965"/>
      <c r="K12" s="966"/>
    </row>
    <row r="13" spans="1:33" s="972" customFormat="1" ht="13.5" customHeight="1">
      <c r="A13" s="968" t="s">
        <v>1332</v>
      </c>
      <c r="B13" s="969" t="s">
        <v>2481</v>
      </c>
      <c r="C13" s="24">
        <f ca="1">ROUND(IF(C1="",SUMIF('数据-取费表'!C:C,"住宅",'数据-取费表'!P:P)*F13,IF(INDIRECT("'数据-取费表'!c"&amp;$K$1)="住宅",INDIRECT("'数据-取费表'!P"&amp;$K$1)*F13,0)),0)</f>
        <v>0</v>
      </c>
      <c r="D13" s="1030"/>
      <c r="E13" s="374"/>
      <c r="F13" s="973">
        <f>'数据-取费表'!B34</f>
        <v>0.05</v>
      </c>
      <c r="G13" s="8" t="s">
        <v>2482</v>
      </c>
      <c r="H13" s="965"/>
      <c r="I13" s="965"/>
      <c r="J13" s="965"/>
      <c r="K13" s="966"/>
    </row>
    <row r="14" spans="1:33" s="974" customFormat="1" ht="13.5" customHeight="1">
      <c r="A14" s="968" t="s">
        <v>1333</v>
      </c>
      <c r="B14" s="969" t="s">
        <v>2483</v>
      </c>
      <c r="C14" s="24">
        <f ca="1">ROUND(D14*E14*F11/10000,0)</f>
        <v>0</v>
      </c>
      <c r="D14" s="1030">
        <f ca="1">IF(C1="",'数据-汇总表'!E3,INDIRECT("'数据-取费表'!K"&amp;$K$1)+INDIRECT("'数据-取费表'!S"&amp;$K$1))</f>
        <v>48967.92</v>
      </c>
      <c r="E14" s="24">
        <f>'数据-取费表'!B35</f>
        <v>200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2485</v>
      </c>
      <c r="C15" s="980">
        <f ca="1">ROUND(C11*F15,0)</f>
        <v>0</v>
      </c>
      <c r="D15" s="975"/>
      <c r="E15" s="980"/>
      <c r="F15" s="981">
        <f>'数据-取费表'!B36</f>
        <v>1.4999999999999999E-2</v>
      </c>
      <c r="G15" s="139"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979</v>
      </c>
      <c r="D17" s="1030">
        <f ca="1">D14</f>
        <v>48967.92</v>
      </c>
      <c r="E17" s="24">
        <f>'数据-取费表'!B32</f>
        <v>200</v>
      </c>
      <c r="F17" s="975"/>
      <c r="G17" s="139"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2490</v>
      </c>
      <c r="C18" s="24">
        <f ca="1">C19+C20-IF(C1="",'数据-取费表'!B29,IF(G18="已全部缴纳",C19+C20,H18))</f>
        <v>0</v>
      </c>
      <c r="D18" s="1030"/>
      <c r="E18" s="24"/>
      <c r="F18" s="973"/>
      <c r="G18" s="2553"/>
      <c r="H18" s="1574"/>
      <c r="I18" s="2554"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2493</v>
      </c>
      <c r="C20" s="24">
        <f ca="1">ROUND(D20*E20/10000,0)</f>
        <v>979</v>
      </c>
      <c r="D20" s="1030">
        <f ca="1">IF(C1="",'数据-汇总表'!E6,IF(INDIRECT("'数据-取费表'!c"&amp;$K$1)="住宅",INDIRECT("'数据-取费表'!s"&amp;$K$1),INDIRECT("'数据-取费表'!k"&amp;$K$1)+INDIRECT("'数据-取费表'!s"&amp;$K$1)))</f>
        <v>48967.92</v>
      </c>
      <c r="E20" s="24">
        <f>'数据-取费表'!B28</f>
        <v>200</v>
      </c>
      <c r="F20" s="973"/>
      <c r="G20" s="15"/>
      <c r="H20" s="978"/>
      <c r="I20" s="978"/>
      <c r="J20" s="978"/>
      <c r="K20" s="979"/>
    </row>
    <row r="21" spans="1:33" s="972" customFormat="1" ht="13.5" customHeight="1">
      <c r="A21" s="958" t="s">
        <v>802</v>
      </c>
      <c r="B21" s="982" t="s">
        <v>2494</v>
      </c>
      <c r="C21" s="983">
        <f ca="1">C16+C17+C18</f>
        <v>979</v>
      </c>
      <c r="D21" s="984"/>
      <c r="E21" s="324"/>
      <c r="F21" s="324"/>
      <c r="G21" s="139" t="s">
        <v>2495</v>
      </c>
      <c r="H21" s="976"/>
      <c r="I21" s="976"/>
      <c r="J21" s="976"/>
      <c r="K21" s="977"/>
    </row>
    <row r="22" spans="1:33" s="972" customFormat="1" ht="13.5" customHeight="1">
      <c r="A22" s="958" t="s">
        <v>2467</v>
      </c>
      <c r="B22" s="982" t="s">
        <v>2496</v>
      </c>
      <c r="C22" s="983">
        <f ca="1">ROUND(C21*F22,0)</f>
        <v>20</v>
      </c>
      <c r="D22" s="324"/>
      <c r="E22" s="324"/>
      <c r="F22" s="985">
        <f>'数据-取费表'!B37</f>
        <v>0.02</v>
      </c>
      <c r="G22" s="8" t="s">
        <v>2497</v>
      </c>
      <c r="H22" s="965"/>
      <c r="I22" s="965"/>
      <c r="J22" s="965"/>
      <c r="K22" s="966"/>
    </row>
    <row r="23" spans="1:33" s="972" customFormat="1" ht="13.5" customHeight="1">
      <c r="A23" s="958" t="s">
        <v>2469</v>
      </c>
      <c r="B23" s="982" t="s">
        <v>2498</v>
      </c>
      <c r="C23" s="983">
        <f ca="1">ROUND(C4*F23*F11,0)</f>
        <v>0</v>
      </c>
      <c r="D23" s="324"/>
      <c r="E23" s="324"/>
      <c r="F23" s="985">
        <f>'数据-取费表'!B38</f>
        <v>0.02</v>
      </c>
      <c r="G23" s="8" t="s">
        <v>2499</v>
      </c>
      <c r="H23" s="965"/>
      <c r="I23" s="965"/>
      <c r="J23" s="965"/>
      <c r="K23" s="966"/>
    </row>
    <row r="24" spans="1:33" s="972" customFormat="1" ht="13.5" customHeight="1">
      <c r="A24" s="958" t="s">
        <v>2500</v>
      </c>
      <c r="B24" s="982" t="s">
        <v>2501</v>
      </c>
      <c r="C24" s="323">
        <f>ROUND(F24/(1+'数据-取费表'!C42),4)</f>
        <v>2.9000000000000001E-2</v>
      </c>
      <c r="D24" s="324" t="s">
        <v>15</v>
      </c>
      <c r="E24" s="324"/>
      <c r="F24" s="985">
        <f>IF(项目基本情况!B8="出让",0,'数据-取费表'!B48+'数据-取费表'!B49)</f>
        <v>3.0499999999999999E-2</v>
      </c>
      <c r="G24" s="8" t="s">
        <v>2502</v>
      </c>
      <c r="H24" s="987"/>
      <c r="I24" s="987"/>
      <c r="J24" s="987"/>
      <c r="K24" s="988"/>
    </row>
    <row r="25" spans="1:33" s="972" customFormat="1" ht="13.5" customHeight="1">
      <c r="A25" s="958" t="s">
        <v>2503</v>
      </c>
      <c r="B25" s="984" t="s">
        <v>2504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6"/>
      <c r="I27" s="976"/>
      <c r="J27" s="976"/>
      <c r="K27" s="977"/>
    </row>
    <row r="28" spans="1:33" s="332" customFormat="1" ht="13.5" customHeight="1">
      <c r="A28" s="958" t="s">
        <v>2507</v>
      </c>
      <c r="B28" s="2556" t="s">
        <v>2508</v>
      </c>
      <c r="C28" s="330">
        <f ca="1">C30</f>
        <v>250</v>
      </c>
      <c r="D28" s="323">
        <f ca="1">C29</f>
        <v>0</v>
      </c>
      <c r="E28" s="325" t="s">
        <v>15</v>
      </c>
      <c r="F28" s="331">
        <f ca="1">IF(C1="",'数据-取费表'!Q16,INDIRECT("'数据-取费表'!q"&amp;$K$1))</f>
        <v>0.25</v>
      </c>
      <c r="G28" s="986"/>
      <c r="H28" s="987"/>
      <c r="I28" s="987"/>
      <c r="J28" s="987"/>
      <c r="K28" s="988"/>
    </row>
    <row r="29" spans="1:33" s="334" customFormat="1" ht="13.5" customHeight="1">
      <c r="A29" s="968" t="s">
        <v>803</v>
      </c>
      <c r="B29" s="991" t="s">
        <v>2509</v>
      </c>
      <c r="C29" s="327">
        <f ca="1">ROUND((1+C24)*F28*'数据-取费表'!B24/'数据-取费表'!B20,4)</f>
        <v>0</v>
      </c>
      <c r="D29" s="327"/>
      <c r="E29" s="328"/>
      <c r="F29" s="333"/>
      <c r="G29" s="139" t="s">
        <v>2510</v>
      </c>
      <c r="H29" s="976"/>
      <c r="I29" s="976"/>
      <c r="J29" s="976"/>
      <c r="K29" s="977"/>
    </row>
    <row r="30" spans="1:33" s="334" customFormat="1" ht="13.5" customHeight="1">
      <c r="A30" s="968" t="s">
        <v>804</v>
      </c>
      <c r="B30" s="991" t="s">
        <v>2511</v>
      </c>
      <c r="C30" s="335">
        <f ca="1">ROUND((C21+C22+C23)*F28,0)</f>
        <v>250</v>
      </c>
      <c r="D30" s="327"/>
      <c r="E30" s="328"/>
      <c r="F30" s="333"/>
      <c r="G30" s="139"/>
      <c r="H30" s="976"/>
      <c r="I30" s="976"/>
      <c r="J30" s="976"/>
      <c r="K30" s="977"/>
    </row>
    <row r="31" spans="1:33" s="972" customFormat="1" ht="13.5" customHeight="1" thickBot="1">
      <c r="A31" s="2557" t="s">
        <v>2512</v>
      </c>
      <c r="B31" s="1002" t="s">
        <v>2513</v>
      </c>
      <c r="C31" s="1003">
        <f>ROUND(C4*F31/(1+'数据-取费表'!C42),0)</f>
        <v>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-1214</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5" sqref="M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2325</v>
      </c>
      <c r="B2" s="670">
        <f>F66</f>
        <v>49215</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6"/>
    </row>
    <row r="3" spans="1:30" s="397" customFormat="1" ht="28.5" customHeight="1" thickBot="1">
      <c r="A3" s="246" t="s">
        <v>2327</v>
      </c>
      <c r="B3" s="608">
        <f>ROUND(IF(D3="",B2*10000/'数据-汇总表'!E3,B2*10000/D3),0)</f>
        <v>10050</v>
      </c>
      <c r="C3" s="246" t="s">
        <v>2744</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8" t="s">
        <v>2646</v>
      </c>
      <c r="AC4" s="3177" t="s">
        <v>2647</v>
      </c>
    </row>
    <row r="5" spans="1:30" ht="15">
      <c r="A5" s="403"/>
      <c r="B5" s="404"/>
      <c r="C5" s="3197" t="s">
        <v>2540</v>
      </c>
      <c r="D5" s="3198"/>
      <c r="E5" s="3204" t="str">
        <f>Sheet2!A2</f>
        <v>北京经济技术开发区南海子郊野公园B片区B-04/*B-06/B-11地块F3其他类多功能用地</v>
      </c>
      <c r="F5" s="3205"/>
      <c r="G5" s="3197" t="str">
        <f>Sheet2!A3</f>
        <v>北京经济技术开发区路东区E16街区E16C-3、E16C-5、E16S-1地块</v>
      </c>
      <c r="H5" s="3198"/>
      <c r="I5" s="3197" t="str">
        <f>Sheet2!A4</f>
        <v>北京经济技术开发区路东区C14C-1、C14C-2、C14S-1地块B4综合性商业金融服务业用地及S41公用停车场用地</v>
      </c>
      <c r="J5" s="3198"/>
      <c r="K5" s="609"/>
      <c r="L5" s="1127"/>
      <c r="M5" s="1128"/>
      <c r="N5" s="1128"/>
      <c r="O5" s="1128"/>
      <c r="P5" s="3185"/>
      <c r="Q5" s="3186"/>
      <c r="R5" s="3191"/>
      <c r="S5" s="3192"/>
      <c r="T5" s="3191"/>
      <c r="U5" s="3192"/>
      <c r="V5" s="3176"/>
      <c r="W5" s="3176"/>
      <c r="X5" s="1810"/>
      <c r="Y5" s="3191"/>
      <c r="Z5" s="3192"/>
      <c r="AA5" s="3178"/>
      <c r="AB5" s="3178"/>
      <c r="AC5" s="3178"/>
    </row>
    <row r="6" spans="1:30" ht="15.75" thickBot="1">
      <c r="A6" s="405"/>
      <c r="B6" s="406"/>
      <c r="C6" s="3195" t="s">
        <v>2544</v>
      </c>
      <c r="D6" s="3196"/>
      <c r="E6" s="3202" t="s">
        <v>2544</v>
      </c>
      <c r="F6" s="3203"/>
      <c r="G6" s="3195" t="s">
        <v>2544</v>
      </c>
      <c r="H6" s="3196"/>
      <c r="I6" s="3195" t="s">
        <v>2544</v>
      </c>
      <c r="J6" s="3196"/>
      <c r="K6" s="609" t="s">
        <v>2545</v>
      </c>
      <c r="L6" s="1127"/>
      <c r="M6" s="1128"/>
      <c r="N6" s="1128"/>
      <c r="O6" s="1128"/>
      <c r="P6" s="3187"/>
      <c r="Q6" s="3188"/>
      <c r="R6" s="3191"/>
      <c r="S6" s="3192"/>
      <c r="T6" s="3193"/>
      <c r="U6" s="3194"/>
      <c r="V6" s="3176"/>
      <c r="W6" s="3176"/>
      <c r="X6" s="1810"/>
      <c r="Y6" s="3193"/>
      <c r="Z6" s="3194"/>
      <c r="AA6" s="3179"/>
      <c r="AB6" s="3179"/>
      <c r="AC6" s="3179"/>
    </row>
    <row r="7" spans="1:30" s="117" customFormat="1" ht="15.75" thickBot="1">
      <c r="A7" s="407" t="s">
        <v>2546</v>
      </c>
      <c r="B7" s="408"/>
      <c r="C7" s="409">
        <f>'数据-取费表'!B2</f>
        <v>43615</v>
      </c>
      <c r="D7" s="410">
        <v>100</v>
      </c>
      <c r="E7" s="411" t="str">
        <f>Sheet2!H2</f>
        <v>2019-05-28</v>
      </c>
      <c r="F7" s="412">
        <f>SUMIF(70:70,YEAR(E7)&amp;"-"&amp;INT((MONTH(E7)+2)/3),71:71)</f>
        <v>100</v>
      </c>
      <c r="G7" s="2693" t="str">
        <f>Sheet2!H3</f>
        <v>2018-06-14</v>
      </c>
      <c r="H7" s="410">
        <f>SUMIF(70:70,YEAR(G7)&amp;"-"&amp;INT((MONTH(G7)+2)/3),71:71)</f>
        <v>96</v>
      </c>
      <c r="I7" s="2693" t="str">
        <f>Sheet2!H4</f>
        <v>2017-08-08</v>
      </c>
      <c r="J7" s="410">
        <f>SUMIF(70:70,YEAR(I7)&amp;"-"&amp;INT((MONTH(I7)+2)/3),71:71)</f>
        <v>93</v>
      </c>
      <c r="K7" s="610"/>
      <c r="L7" s="1129"/>
      <c r="M7" s="1130"/>
      <c r="N7" s="1130"/>
      <c r="O7" s="1130"/>
      <c r="P7" s="3199" t="s">
        <v>2547</v>
      </c>
      <c r="Q7" s="3201"/>
      <c r="R7" s="768" t="s">
        <v>17</v>
      </c>
      <c r="S7" s="769">
        <f t="shared" ref="S7:S15" si="0">F7</f>
        <v>100</v>
      </c>
      <c r="T7" s="768" t="s">
        <v>17</v>
      </c>
      <c r="U7" s="769">
        <f t="shared" ref="U7:U15" si="1">H7</f>
        <v>96</v>
      </c>
      <c r="V7" s="768" t="s">
        <v>17</v>
      </c>
      <c r="W7" s="769">
        <f t="shared" ref="W7:W15" si="2">J7</f>
        <v>93</v>
      </c>
      <c r="X7" s="770"/>
      <c r="Y7" s="3199" t="s">
        <v>2547</v>
      </c>
      <c r="Z7" s="3200"/>
      <c r="AA7" s="771">
        <f>D7/F7</f>
        <v>1</v>
      </c>
      <c r="AB7" s="771">
        <f>D7/H7</f>
        <v>1.0416666666666667</v>
      </c>
      <c r="AC7" s="771">
        <f>D7/J7</f>
        <v>1.075268817204301</v>
      </c>
    </row>
    <row r="8" spans="1:30" s="117" customFormat="1" ht="15.75" thickBot="1">
      <c r="A8" s="407" t="s">
        <v>2548</v>
      </c>
      <c r="B8" s="408"/>
      <c r="C8" s="413" t="s">
        <v>2549</v>
      </c>
      <c r="D8" s="410">
        <v>100</v>
      </c>
      <c r="E8" s="2968" t="s">
        <v>3216</v>
      </c>
      <c r="F8" s="412">
        <f>SUMIF(73:73,E8,74:74)-SUMIF(73:73,C8,74:74)+100</f>
        <v>100</v>
      </c>
      <c r="G8" s="2968" t="s">
        <v>3216</v>
      </c>
      <c r="H8" s="410">
        <f>SUMIF(73:73,G8,74:74)-SUMIF(73:73,C8,74:74)+100</f>
        <v>100</v>
      </c>
      <c r="I8" s="2968" t="s">
        <v>3216</v>
      </c>
      <c r="J8" s="410">
        <f>SUMIF(73:73,I8,74:74)-SUMIF(73:73,C8,74:74)+100</f>
        <v>100</v>
      </c>
      <c r="K8" s="610"/>
      <c r="L8" s="1129"/>
      <c r="M8" s="1130"/>
      <c r="N8" s="1130"/>
      <c r="O8" s="1130"/>
      <c r="P8" s="3199" t="s">
        <v>2550</v>
      </c>
      <c r="Q8" s="3200"/>
      <c r="R8" s="768" t="s">
        <v>17</v>
      </c>
      <c r="S8" s="769">
        <f t="shared" si="0"/>
        <v>100</v>
      </c>
      <c r="T8" s="768" t="s">
        <v>17</v>
      </c>
      <c r="U8" s="769">
        <f t="shared" si="1"/>
        <v>100</v>
      </c>
      <c r="V8" s="768" t="s">
        <v>17</v>
      </c>
      <c r="W8" s="769">
        <f t="shared" si="2"/>
        <v>100</v>
      </c>
      <c r="X8" s="770"/>
      <c r="Y8" s="3199" t="s">
        <v>2550</v>
      </c>
      <c r="Z8" s="3200"/>
      <c r="AA8" s="771">
        <f t="shared" ref="AA8:AA45" si="3">D8/F8</f>
        <v>1</v>
      </c>
      <c r="AB8" s="771">
        <f t="shared" ref="AB8:AB45" si="4">D8/H8</f>
        <v>1</v>
      </c>
      <c r="AC8" s="771">
        <f t="shared" ref="AC8:AC45" si="5">D8/J8</f>
        <v>1</v>
      </c>
    </row>
    <row r="9" spans="1:30" s="117" customFormat="1">
      <c r="A9" s="414" t="s">
        <v>2551</v>
      </c>
      <c r="B9" s="71" t="s">
        <v>2552</v>
      </c>
      <c r="C9" s="2696"/>
      <c r="D9" s="134">
        <v>100</v>
      </c>
      <c r="E9" s="2696"/>
      <c r="F9" s="134">
        <f>SUMIF(75:75,E9,76:76)-SUMIF(75:75,C9,76:76)+100</f>
        <v>100</v>
      </c>
      <c r="G9" s="2696"/>
      <c r="H9" s="134">
        <f>SUMIF(75:75,G9,76:76)-SUMIF(75:75,C9,76:76)+100</f>
        <v>100</v>
      </c>
      <c r="I9" s="2696"/>
      <c r="J9" s="134">
        <f>SUMIF(75:75,I9,76:76)-SUMIF(75:75,C9,76:76)+100</f>
        <v>100</v>
      </c>
      <c r="K9" s="610"/>
      <c r="L9" s="1129"/>
      <c r="M9" s="1130"/>
      <c r="N9" s="1130"/>
      <c r="O9" s="1131"/>
      <c r="P9" s="3170"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771">
        <f t="shared" si="5"/>
        <v>1</v>
      </c>
    </row>
    <row r="10" spans="1:30" s="426" customFormat="1" ht="27">
      <c r="A10" s="420"/>
      <c r="B10" s="421" t="s">
        <v>2555</v>
      </c>
      <c r="C10" s="431"/>
      <c r="D10" s="135">
        <v>100</v>
      </c>
      <c r="E10" s="464"/>
      <c r="F10" s="135">
        <f>ROUND(100/'数据-取费表'!G16,0)</f>
        <v>122</v>
      </c>
      <c r="G10" s="462"/>
      <c r="H10" s="135">
        <f>ROUND(100/'数据-取费表'!G16,0)</f>
        <v>122</v>
      </c>
      <c r="I10" s="462"/>
      <c r="J10" s="135">
        <f>ROUND(100/'数据-取费表'!G16,0)</f>
        <v>122</v>
      </c>
      <c r="K10" s="671"/>
      <c r="L10" s="1132"/>
      <c r="M10" s="1133"/>
      <c r="N10" s="1133"/>
      <c r="O10" s="1134"/>
      <c r="P10" s="3170"/>
      <c r="Q10" s="1792" t="str">
        <f t="shared" si="6"/>
        <v>土地使用年限（年）</v>
      </c>
      <c r="R10" s="768" t="s">
        <v>17</v>
      </c>
      <c r="S10" s="769">
        <f t="shared" si="0"/>
        <v>122</v>
      </c>
      <c r="T10" s="768" t="s">
        <v>17</v>
      </c>
      <c r="U10" s="769">
        <f t="shared" si="1"/>
        <v>122</v>
      </c>
      <c r="V10" s="768" t="s">
        <v>17</v>
      </c>
      <c r="W10" s="769">
        <f t="shared" si="2"/>
        <v>122</v>
      </c>
      <c r="X10" s="770"/>
      <c r="Y10" s="3018"/>
      <c r="Z10" s="55" t="str">
        <f t="shared" si="7"/>
        <v>土地使用年限（年）</v>
      </c>
      <c r="AA10" s="771">
        <f t="shared" si="3"/>
        <v>0.81967213114754101</v>
      </c>
      <c r="AB10" s="771">
        <f t="shared" si="4"/>
        <v>0.81967213114754101</v>
      </c>
      <c r="AC10" s="771">
        <f t="shared" si="5"/>
        <v>0.81967213114754101</v>
      </c>
    </row>
    <row r="11" spans="1:30" ht="15">
      <c r="A11" s="427"/>
      <c r="B11" s="421" t="s">
        <v>2556</v>
      </c>
      <c r="C11" s="428">
        <f>'数据-汇总表'!I6</f>
        <v>4.1500000000000004</v>
      </c>
      <c r="D11" s="135">
        <v>100</v>
      </c>
      <c r="E11" s="428">
        <v>2</v>
      </c>
      <c r="F11" s="135">
        <f>LOOKUP(E11,80:80,81:81)-LOOKUP(C11,80:80,81:81)+100</f>
        <v>104</v>
      </c>
      <c r="G11" s="429">
        <v>3.7</v>
      </c>
      <c r="H11" s="135">
        <f>LOOKUP(G11,80:80,81:81)-LOOKUP(C11,80:80,81:81)+100</f>
        <v>102</v>
      </c>
      <c r="I11" s="428">
        <v>3.99</v>
      </c>
      <c r="J11" s="135">
        <f>LOOKUP(I11,80:80,81:81)-LOOKUP(C11,80:80,81:81)+100</f>
        <v>102</v>
      </c>
      <c r="K11" s="672">
        <v>2</v>
      </c>
      <c r="L11" s="1135"/>
      <c r="M11" s="1128"/>
      <c r="N11" s="1128"/>
      <c r="O11" s="1136"/>
      <c r="P11" s="3170"/>
      <c r="Q11" s="1792" t="str">
        <f t="shared" si="6"/>
        <v>容积率</v>
      </c>
      <c r="R11" s="768" t="s">
        <v>17</v>
      </c>
      <c r="S11" s="769">
        <f t="shared" si="0"/>
        <v>104</v>
      </c>
      <c r="T11" s="768" t="s">
        <v>17</v>
      </c>
      <c r="U11" s="769">
        <f t="shared" si="1"/>
        <v>102</v>
      </c>
      <c r="V11" s="768" t="s">
        <v>17</v>
      </c>
      <c r="W11" s="769">
        <f t="shared" si="2"/>
        <v>102</v>
      </c>
      <c r="X11" s="770"/>
      <c r="Y11" s="3018"/>
      <c r="Z11" s="55" t="str">
        <f t="shared" si="7"/>
        <v>容积率</v>
      </c>
      <c r="AA11" s="771">
        <f t="shared" si="3"/>
        <v>0.96153846153846156</v>
      </c>
      <c r="AB11" s="771">
        <f t="shared" si="4"/>
        <v>0.98039215686274506</v>
      </c>
      <c r="AC11" s="771">
        <f t="shared" si="5"/>
        <v>0.98039215686274506</v>
      </c>
    </row>
    <row r="12" spans="1:30" s="117" customFormat="1" ht="15">
      <c r="A12" s="430"/>
      <c r="B12" s="2597" t="s">
        <v>2745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170"/>
      <c r="Q12" s="1792" t="str">
        <f t="shared" si="6"/>
        <v>配建</v>
      </c>
      <c r="R12" s="768" t="s">
        <v>17</v>
      </c>
      <c r="S12" s="769">
        <f t="shared" si="0"/>
        <v>100</v>
      </c>
      <c r="T12" s="768" t="s">
        <v>17</v>
      </c>
      <c r="U12" s="769">
        <f t="shared" si="1"/>
        <v>100</v>
      </c>
      <c r="V12" s="768" t="s">
        <v>17</v>
      </c>
      <c r="W12" s="769">
        <f t="shared" si="2"/>
        <v>100</v>
      </c>
      <c r="X12" s="770"/>
      <c r="Y12" s="3018"/>
      <c r="Z12" s="55" t="str">
        <f t="shared" si="7"/>
        <v>配建</v>
      </c>
      <c r="AA12" s="771">
        <f>D12/F12</f>
        <v>1</v>
      </c>
      <c r="AB12" s="771">
        <f>D12/H12</f>
        <v>1</v>
      </c>
      <c r="AC12" s="771">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170"/>
      <c r="Q13" s="1792">
        <f t="shared" si="6"/>
        <v>111</v>
      </c>
      <c r="R13" s="768" t="s">
        <v>17</v>
      </c>
      <c r="S13" s="769">
        <f t="shared" si="0"/>
        <v>100</v>
      </c>
      <c r="T13" s="768" t="s">
        <v>17</v>
      </c>
      <c r="U13" s="769">
        <f t="shared" si="1"/>
        <v>100</v>
      </c>
      <c r="V13" s="768" t="s">
        <v>17</v>
      </c>
      <c r="W13" s="769">
        <f t="shared" si="2"/>
        <v>100</v>
      </c>
      <c r="X13" s="770"/>
      <c r="Y13" s="3018"/>
      <c r="Z13" s="55">
        <f t="shared" si="7"/>
        <v>111</v>
      </c>
      <c r="AA13" s="771">
        <f>D13/F13</f>
        <v>1</v>
      </c>
      <c r="AB13" s="771">
        <f>D13/H13</f>
        <v>1</v>
      </c>
      <c r="AC13" s="771">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170"/>
      <c r="Q14" s="1792">
        <f t="shared" si="6"/>
        <v>111</v>
      </c>
      <c r="R14" s="768" t="s">
        <v>17</v>
      </c>
      <c r="S14" s="769">
        <f t="shared" si="0"/>
        <v>100</v>
      </c>
      <c r="T14" s="768" t="s">
        <v>17</v>
      </c>
      <c r="U14" s="769">
        <f t="shared" si="1"/>
        <v>100</v>
      </c>
      <c r="V14" s="768" t="s">
        <v>17</v>
      </c>
      <c r="W14" s="769">
        <f t="shared" si="2"/>
        <v>100</v>
      </c>
      <c r="X14" s="770"/>
      <c r="Y14" s="3018"/>
      <c r="Z14" s="55">
        <f t="shared" si="7"/>
        <v>111</v>
      </c>
      <c r="AA14" s="771">
        <f>D14/F14</f>
        <v>1</v>
      </c>
      <c r="AB14" s="771">
        <f>D14/H14</f>
        <v>1</v>
      </c>
      <c r="AC14" s="771">
        <f>D14/J14</f>
        <v>1</v>
      </c>
    </row>
    <row r="15" spans="1:30" ht="99.75">
      <c r="A15" s="439" t="s">
        <v>2557</v>
      </c>
      <c r="B15" s="69" t="s">
        <v>2082</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7"/>
      <c r="M15" s="1128"/>
      <c r="N15" s="1128"/>
      <c r="O15" s="1136"/>
      <c r="P15" s="3172" t="s">
        <v>2558</v>
      </c>
      <c r="Q15" s="1807" t="str">
        <f t="shared" si="6"/>
        <v>居住社区成熟度</v>
      </c>
      <c r="R15" s="772" t="s">
        <v>17</v>
      </c>
      <c r="S15" s="773">
        <f t="shared" si="0"/>
        <v>100</v>
      </c>
      <c r="T15" s="772" t="s">
        <v>17</v>
      </c>
      <c r="U15" s="773">
        <f t="shared" si="1"/>
        <v>100</v>
      </c>
      <c r="V15" s="772" t="s">
        <v>17</v>
      </c>
      <c r="W15" s="773">
        <f t="shared" si="2"/>
        <v>100</v>
      </c>
      <c r="X15" s="1810"/>
      <c r="Y15" s="3172" t="s">
        <v>2558</v>
      </c>
      <c r="Z15" s="1811" t="str">
        <f t="shared" si="7"/>
        <v>居住社区成熟度</v>
      </c>
      <c r="AA15" s="1808">
        <f t="shared" si="3"/>
        <v>1</v>
      </c>
      <c r="AB15" s="1808">
        <f t="shared" si="4"/>
        <v>1</v>
      </c>
      <c r="AC15" s="1808">
        <f t="shared" si="5"/>
        <v>1</v>
      </c>
    </row>
    <row r="16" spans="1:30" ht="15">
      <c r="A16" s="427"/>
      <c r="B16" s="445"/>
      <c r="C16" s="446"/>
      <c r="D16" s="447"/>
      <c r="E16" s="2602"/>
      <c r="F16" s="447"/>
      <c r="G16" s="2602"/>
      <c r="H16" s="449"/>
      <c r="I16" s="2601"/>
      <c r="J16" s="447"/>
      <c r="K16" s="671"/>
      <c r="L16" s="1137"/>
      <c r="M16" s="1128"/>
      <c r="N16" s="1128"/>
      <c r="O16" s="1136"/>
      <c r="P16" s="3173"/>
      <c r="Q16" s="1807"/>
      <c r="R16" s="772"/>
      <c r="S16" s="773"/>
      <c r="T16" s="772"/>
      <c r="U16" s="773"/>
      <c r="V16" s="772"/>
      <c r="W16" s="773"/>
      <c r="X16" s="1810"/>
      <c r="Y16" s="3173"/>
      <c r="Z16" s="1811"/>
      <c r="AA16" s="1808">
        <v>1</v>
      </c>
      <c r="AB16" s="1808">
        <v>1</v>
      </c>
      <c r="AC16" s="1808">
        <v>1</v>
      </c>
    </row>
    <row r="17" spans="1:29" ht="71.25">
      <c r="A17" s="427"/>
      <c r="B17" s="450" t="s">
        <v>2651</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7"/>
      <c r="M17" s="1128"/>
      <c r="N17" s="1128"/>
      <c r="O17" s="1136"/>
      <c r="P17" s="3173"/>
      <c r="Q17" s="1807" t="str">
        <f>B17</f>
        <v>商业繁华度</v>
      </c>
      <c r="R17" s="772" t="s">
        <v>17</v>
      </c>
      <c r="S17" s="773">
        <f>F17</f>
        <v>100</v>
      </c>
      <c r="T17" s="772" t="s">
        <v>17</v>
      </c>
      <c r="U17" s="773">
        <f>H17</f>
        <v>100</v>
      </c>
      <c r="V17" s="772" t="s">
        <v>17</v>
      </c>
      <c r="W17" s="773">
        <f>J17</f>
        <v>100</v>
      </c>
      <c r="X17" s="1810"/>
      <c r="Y17" s="3173"/>
      <c r="Z17" s="1811" t="str">
        <f>Q17</f>
        <v>商业繁华度</v>
      </c>
      <c r="AA17" s="1808">
        <f t="shared" si="3"/>
        <v>1</v>
      </c>
      <c r="AB17" s="1808">
        <f t="shared" si="4"/>
        <v>1</v>
      </c>
      <c r="AC17" s="1808">
        <f t="shared" si="5"/>
        <v>1</v>
      </c>
    </row>
    <row r="18" spans="1:29" ht="15">
      <c r="A18" s="427"/>
      <c r="B18" s="455"/>
      <c r="C18" s="2605"/>
      <c r="D18" s="449"/>
      <c r="E18" s="2607"/>
      <c r="F18" s="449"/>
      <c r="G18" s="2607"/>
      <c r="H18" s="447"/>
      <c r="I18" s="2606"/>
      <c r="J18" s="447"/>
      <c r="K18" s="671"/>
      <c r="L18" s="1137"/>
      <c r="M18" s="1128"/>
      <c r="N18" s="1128"/>
      <c r="O18" s="1136"/>
      <c r="P18" s="3173"/>
      <c r="Q18" s="1807"/>
      <c r="R18" s="772"/>
      <c r="S18" s="773"/>
      <c r="T18" s="772"/>
      <c r="U18" s="773"/>
      <c r="V18" s="772"/>
      <c r="W18" s="773"/>
      <c r="X18" s="1810"/>
      <c r="Y18" s="3173"/>
      <c r="Z18" s="1811"/>
      <c r="AA18" s="1808">
        <v>1</v>
      </c>
      <c r="AB18" s="1808">
        <v>1</v>
      </c>
      <c r="AC18" s="1808">
        <v>1</v>
      </c>
    </row>
    <row r="19" spans="1:29" ht="71.25">
      <c r="A19" s="427"/>
      <c r="B19" s="450" t="s">
        <v>2685</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37"/>
      <c r="M19" s="1128"/>
      <c r="N19" s="1128"/>
      <c r="O19" s="1136"/>
      <c r="P19" s="3173"/>
      <c r="Q19" s="1807" t="str">
        <f>B19</f>
        <v>办公集聚程度</v>
      </c>
      <c r="R19" s="772" t="s">
        <v>17</v>
      </c>
      <c r="S19" s="773">
        <f>F19</f>
        <v>100</v>
      </c>
      <c r="T19" s="772" t="s">
        <v>17</v>
      </c>
      <c r="U19" s="773">
        <f>H19</f>
        <v>100</v>
      </c>
      <c r="V19" s="772" t="s">
        <v>17</v>
      </c>
      <c r="W19" s="773">
        <f>J19</f>
        <v>100</v>
      </c>
      <c r="X19" s="1810"/>
      <c r="Y19" s="3173"/>
      <c r="Z19" s="1811" t="str">
        <f>Q19</f>
        <v>办公集聚程度</v>
      </c>
      <c r="AA19" s="1808">
        <f t="shared" si="3"/>
        <v>1</v>
      </c>
      <c r="AB19" s="1808">
        <f t="shared" si="4"/>
        <v>1</v>
      </c>
      <c r="AC19" s="1808">
        <f t="shared" si="5"/>
        <v>1</v>
      </c>
    </row>
    <row r="20" spans="1:29" ht="15">
      <c r="A20" s="427"/>
      <c r="B20" s="455"/>
      <c r="C20" s="446"/>
      <c r="D20" s="447"/>
      <c r="E20" s="2602"/>
      <c r="F20" s="447"/>
      <c r="G20" s="2602"/>
      <c r="H20" s="447"/>
      <c r="I20" s="2601"/>
      <c r="J20" s="447"/>
      <c r="K20" s="671"/>
      <c r="L20" s="1137"/>
      <c r="M20" s="1128"/>
      <c r="N20" s="1128"/>
      <c r="O20" s="1136"/>
      <c r="P20" s="3173"/>
      <c r="Q20" s="1807"/>
      <c r="R20" s="772"/>
      <c r="S20" s="773"/>
      <c r="T20" s="772"/>
      <c r="U20" s="773"/>
      <c r="V20" s="772"/>
      <c r="W20" s="773"/>
      <c r="X20" s="1810"/>
      <c r="Y20" s="3173"/>
      <c r="Z20" s="1811"/>
      <c r="AA20" s="1808">
        <v>1</v>
      </c>
      <c r="AB20" s="1808">
        <v>1</v>
      </c>
      <c r="AC20" s="1808">
        <v>1</v>
      </c>
    </row>
    <row r="21" spans="1:29" ht="85.5">
      <c r="A21" s="427"/>
      <c r="B21" s="450" t="s">
        <v>2707</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7"/>
      <c r="M21" s="1128"/>
      <c r="N21" s="1128"/>
      <c r="O21" s="1136"/>
      <c r="P21" s="3173"/>
      <c r="Q21" s="1807" t="str">
        <f>B21</f>
        <v>交通便捷度</v>
      </c>
      <c r="R21" s="772" t="s">
        <v>17</v>
      </c>
      <c r="S21" s="773">
        <f>F21</f>
        <v>100</v>
      </c>
      <c r="T21" s="772" t="s">
        <v>17</v>
      </c>
      <c r="U21" s="773">
        <f>H21</f>
        <v>100</v>
      </c>
      <c r="V21" s="772" t="s">
        <v>17</v>
      </c>
      <c r="W21" s="773">
        <f>J21</f>
        <v>100</v>
      </c>
      <c r="X21" s="1810"/>
      <c r="Y21" s="3173"/>
      <c r="Z21" s="1811" t="str">
        <f>Q21</f>
        <v>交通便捷度</v>
      </c>
      <c r="AA21" s="1808">
        <f t="shared" si="3"/>
        <v>1</v>
      </c>
      <c r="AB21" s="1808">
        <f t="shared" si="4"/>
        <v>1</v>
      </c>
      <c r="AC21" s="1808">
        <f t="shared" si="5"/>
        <v>1</v>
      </c>
    </row>
    <row r="22" spans="1:29" ht="15">
      <c r="A22" s="427"/>
      <c r="B22" s="1381"/>
      <c r="C22" s="446"/>
      <c r="D22" s="449"/>
      <c r="E22" s="2602"/>
      <c r="F22" s="447"/>
      <c r="G22" s="2602"/>
      <c r="H22" s="447"/>
      <c r="I22" s="2601"/>
      <c r="J22" s="447"/>
      <c r="K22" s="671"/>
      <c r="L22" s="1137"/>
      <c r="M22" s="1128"/>
      <c r="N22" s="1128"/>
      <c r="O22" s="1136"/>
      <c r="P22" s="3173"/>
      <c r="Q22" s="1807"/>
      <c r="R22" s="772"/>
      <c r="S22" s="773"/>
      <c r="T22" s="772"/>
      <c r="U22" s="773"/>
      <c r="V22" s="772"/>
      <c r="W22" s="773"/>
      <c r="X22" s="1810"/>
      <c r="Y22" s="3173"/>
      <c r="Z22" s="1811"/>
      <c r="AA22" s="1808">
        <v>1</v>
      </c>
      <c r="AB22" s="1808">
        <v>1</v>
      </c>
      <c r="AC22" s="1808">
        <v>1</v>
      </c>
    </row>
    <row r="23" spans="1:29" ht="15">
      <c r="A23" s="403"/>
      <c r="B23" s="450" t="s">
        <v>2746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7"/>
      <c r="M23" s="1128"/>
      <c r="N23" s="1128"/>
      <c r="O23" s="1136"/>
      <c r="P23" s="3173"/>
      <c r="Q23" s="1807" t="str">
        <f t="shared" ref="Q23:Q37" si="8">B23</f>
        <v>区域土地利用方向</v>
      </c>
      <c r="R23" s="772" t="s">
        <v>17</v>
      </c>
      <c r="S23" s="773">
        <f>F23</f>
        <v>100</v>
      </c>
      <c r="T23" s="772" t="s">
        <v>17</v>
      </c>
      <c r="U23" s="773">
        <f>H23</f>
        <v>100</v>
      </c>
      <c r="V23" s="772" t="s">
        <v>17</v>
      </c>
      <c r="W23" s="773">
        <f>J23</f>
        <v>100</v>
      </c>
      <c r="X23" s="1810"/>
      <c r="Y23" s="3173"/>
      <c r="Z23" s="1811" t="str">
        <f>Q23</f>
        <v>区域土地利用方向</v>
      </c>
      <c r="AA23" s="1808">
        <f t="shared" si="3"/>
        <v>1</v>
      </c>
      <c r="AB23" s="1808">
        <f t="shared" si="4"/>
        <v>1</v>
      </c>
      <c r="AC23" s="1808">
        <f t="shared" si="5"/>
        <v>1</v>
      </c>
    </row>
    <row r="24" spans="1:29" ht="15">
      <c r="A24" s="403"/>
      <c r="B24" s="455"/>
      <c r="C24" s="615"/>
      <c r="D24" s="447"/>
      <c r="E24" s="2602"/>
      <c r="F24" s="447"/>
      <c r="G24" s="2601"/>
      <c r="H24" s="447"/>
      <c r="I24" s="2601"/>
      <c r="J24" s="447"/>
      <c r="K24" s="810"/>
      <c r="L24" s="1137"/>
      <c r="M24" s="1128"/>
      <c r="N24" s="1128"/>
      <c r="O24" s="1136"/>
      <c r="P24" s="3173"/>
      <c r="Q24" s="1807"/>
      <c r="R24" s="772"/>
      <c r="S24" s="773"/>
      <c r="T24" s="772"/>
      <c r="U24" s="773"/>
      <c r="V24" s="772"/>
      <c r="W24" s="773"/>
      <c r="X24" s="1810"/>
      <c r="Y24" s="3173"/>
      <c r="Z24" s="1811"/>
      <c r="AA24" s="1808"/>
      <c r="AB24" s="1808"/>
      <c r="AC24" s="1808"/>
    </row>
    <row r="25" spans="1:29" ht="57">
      <c r="A25" s="403"/>
      <c r="B25" s="1381" t="s">
        <v>2747</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7"/>
      <c r="M25" s="1128"/>
      <c r="N25" s="1128"/>
      <c r="O25" s="1136"/>
      <c r="P25" s="3173"/>
      <c r="Q25" s="1807" t="str">
        <f t="shared" si="8"/>
        <v>自然及人文环境状况</v>
      </c>
      <c r="R25" s="772" t="s">
        <v>17</v>
      </c>
      <c r="S25" s="773">
        <f>F25</f>
        <v>100</v>
      </c>
      <c r="T25" s="772" t="s">
        <v>17</v>
      </c>
      <c r="U25" s="773">
        <f>H25</f>
        <v>100</v>
      </c>
      <c r="V25" s="772" t="s">
        <v>17</v>
      </c>
      <c r="W25" s="773">
        <f>J25</f>
        <v>100</v>
      </c>
      <c r="X25" s="1810"/>
      <c r="Y25" s="3173"/>
      <c r="Z25" s="1811" t="str">
        <f>Q25</f>
        <v>自然及人文环境状况</v>
      </c>
      <c r="AA25" s="1808">
        <f t="shared" si="3"/>
        <v>1</v>
      </c>
      <c r="AB25" s="1808">
        <f t="shared" si="4"/>
        <v>1</v>
      </c>
      <c r="AC25" s="1808">
        <f t="shared" si="5"/>
        <v>1</v>
      </c>
    </row>
    <row r="26" spans="1:29" ht="15">
      <c r="A26" s="403"/>
      <c r="B26" s="455"/>
      <c r="C26" s="446"/>
      <c r="D26" s="447"/>
      <c r="E26" s="2608"/>
      <c r="F26" s="447"/>
      <c r="G26" s="2608"/>
      <c r="H26" s="447"/>
      <c r="I26" s="446"/>
      <c r="J26" s="447"/>
      <c r="K26" s="671"/>
      <c r="L26" s="1137"/>
      <c r="M26" s="1128"/>
      <c r="N26" s="1128"/>
      <c r="O26" s="1136"/>
      <c r="P26" s="3173"/>
      <c r="Q26" s="1807"/>
      <c r="R26" s="772"/>
      <c r="S26" s="773"/>
      <c r="T26" s="772"/>
      <c r="U26" s="773"/>
      <c r="V26" s="772"/>
      <c r="W26" s="773"/>
      <c r="X26" s="1810"/>
      <c r="Y26" s="3173"/>
      <c r="Z26" s="1811"/>
      <c r="AA26" s="1808">
        <v>1</v>
      </c>
      <c r="AB26" s="1808">
        <v>1</v>
      </c>
      <c r="AC26" s="1808">
        <v>1</v>
      </c>
    </row>
    <row r="27" spans="1:29" s="117" customFormat="1" ht="42.75">
      <c r="A27" s="648"/>
      <c r="B27" s="1381" t="s">
        <v>2652</v>
      </c>
      <c r="C27" s="260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9"/>
      <c r="M27" s="1130"/>
      <c r="N27" s="1130"/>
      <c r="O27" s="1131"/>
      <c r="P27" s="3173"/>
      <c r="Q27" s="1792" t="str">
        <f t="shared" si="8"/>
        <v>公共配套设施</v>
      </c>
      <c r="R27" s="768" t="s">
        <v>17</v>
      </c>
      <c r="S27" s="769">
        <f>F27</f>
        <v>100</v>
      </c>
      <c r="T27" s="768" t="s">
        <v>17</v>
      </c>
      <c r="U27" s="769">
        <f>H27</f>
        <v>100</v>
      </c>
      <c r="V27" s="768" t="s">
        <v>17</v>
      </c>
      <c r="W27" s="769">
        <f>J27</f>
        <v>100</v>
      </c>
      <c r="X27" s="770"/>
      <c r="Y27" s="3173"/>
      <c r="Z27" s="55" t="str">
        <f>Q27</f>
        <v>公共配套设施</v>
      </c>
      <c r="AA27" s="1808">
        <f>D27/F27</f>
        <v>1</v>
      </c>
      <c r="AB27" s="1808">
        <f>D27/H27</f>
        <v>1</v>
      </c>
      <c r="AC27" s="1808">
        <f>D27/J27</f>
        <v>1</v>
      </c>
    </row>
    <row r="28" spans="1:29" s="117" customFormat="1" ht="15">
      <c r="A28" s="648"/>
      <c r="B28" s="455"/>
      <c r="C28" s="2697"/>
      <c r="D28" s="447"/>
      <c r="E28" s="2608"/>
      <c r="F28" s="447"/>
      <c r="G28" s="2608"/>
      <c r="H28" s="447"/>
      <c r="I28" s="446"/>
      <c r="J28" s="447"/>
      <c r="K28" s="671"/>
      <c r="L28" s="1129"/>
      <c r="M28" s="1130"/>
      <c r="N28" s="1130"/>
      <c r="O28" s="1131"/>
      <c r="P28" s="3173"/>
      <c r="Q28" s="1792"/>
      <c r="R28" s="768"/>
      <c r="S28" s="769"/>
      <c r="T28" s="768"/>
      <c r="U28" s="769"/>
      <c r="V28" s="768"/>
      <c r="W28" s="769"/>
      <c r="X28" s="770"/>
      <c r="Y28" s="3173"/>
      <c r="Z28" s="55"/>
      <c r="AA28" s="1808">
        <v>1</v>
      </c>
      <c r="AB28" s="1808">
        <v>1</v>
      </c>
      <c r="AC28" s="1808">
        <v>1</v>
      </c>
    </row>
    <row r="29" spans="1:29" s="117" customFormat="1" ht="28.5">
      <c r="A29" s="648"/>
      <c r="B29" s="1381" t="s">
        <v>2653</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9"/>
      <c r="M29" s="1130"/>
      <c r="N29" s="1130"/>
      <c r="O29" s="1131"/>
      <c r="P29" s="3173"/>
      <c r="Q29" s="1792" t="str">
        <f t="shared" ref="Q29" si="9">B29</f>
        <v>基础设施水平</v>
      </c>
      <c r="R29" s="768" t="s">
        <v>17</v>
      </c>
      <c r="S29" s="769">
        <f>F29</f>
        <v>100</v>
      </c>
      <c r="T29" s="768" t="s">
        <v>17</v>
      </c>
      <c r="U29" s="769">
        <f>H29</f>
        <v>100</v>
      </c>
      <c r="V29" s="768" t="s">
        <v>17</v>
      </c>
      <c r="W29" s="769">
        <f>J29</f>
        <v>100</v>
      </c>
      <c r="X29" s="770"/>
      <c r="Y29" s="3173"/>
      <c r="Z29" s="55" t="str">
        <f>Q29</f>
        <v>基础设施水平</v>
      </c>
      <c r="AA29" s="1808">
        <f>D29/F29</f>
        <v>1</v>
      </c>
      <c r="AB29" s="1808">
        <f>D29/H29</f>
        <v>1</v>
      </c>
      <c r="AC29" s="1808">
        <f>D29/J29</f>
        <v>1</v>
      </c>
    </row>
    <row r="30" spans="1:29" s="117" customFormat="1" ht="15">
      <c r="A30" s="648"/>
      <c r="B30" s="455"/>
      <c r="C30" s="2697"/>
      <c r="D30" s="447"/>
      <c r="E30" s="2698"/>
      <c r="F30" s="447"/>
      <c r="G30" s="2698"/>
      <c r="H30" s="447"/>
      <c r="I30" s="2698"/>
      <c r="J30" s="447"/>
      <c r="K30" s="671"/>
      <c r="L30" s="1129"/>
      <c r="M30" s="1130"/>
      <c r="N30" s="1130"/>
      <c r="O30" s="1131"/>
      <c r="P30" s="3173"/>
      <c r="Q30" s="1792"/>
      <c r="R30" s="768"/>
      <c r="S30" s="769"/>
      <c r="T30" s="768"/>
      <c r="U30" s="769"/>
      <c r="V30" s="768"/>
      <c r="W30" s="769"/>
      <c r="X30" s="770"/>
      <c r="Y30" s="3173"/>
      <c r="Z30" s="55"/>
      <c r="AA30" s="1808">
        <v>1</v>
      </c>
      <c r="AB30" s="1808">
        <v>1</v>
      </c>
      <c r="AC30" s="1808">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v>2</v>
      </c>
      <c r="L31" s="1137"/>
      <c r="M31" s="1128"/>
      <c r="N31" s="1128"/>
      <c r="O31" s="1136"/>
      <c r="P31" s="3173"/>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73"/>
      <c r="Z31" s="1811" t="str">
        <f t="shared" ref="Z31:Z45" si="13">Q31</f>
        <v>临街状况</v>
      </c>
      <c r="AA31" s="1808">
        <f t="shared" si="3"/>
        <v>1</v>
      </c>
      <c r="AB31" s="1808">
        <f t="shared" si="4"/>
        <v>1</v>
      </c>
      <c r="AC31" s="1808">
        <f t="shared" si="5"/>
        <v>1</v>
      </c>
    </row>
    <row r="32" spans="1:29" ht="27">
      <c r="A32" s="427"/>
      <c r="B32" s="1381"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7"/>
      <c r="M32" s="1128"/>
      <c r="N32" s="1128"/>
      <c r="O32" s="1136"/>
      <c r="P32" s="3173"/>
      <c r="Q32" s="1807" t="str">
        <f t="shared" si="8"/>
        <v>毗邻道路的类型与等级</v>
      </c>
      <c r="R32" s="772" t="s">
        <v>17</v>
      </c>
      <c r="S32" s="773">
        <f t="shared" si="10"/>
        <v>100</v>
      </c>
      <c r="T32" s="772" t="s">
        <v>17</v>
      </c>
      <c r="U32" s="773">
        <f t="shared" si="11"/>
        <v>100</v>
      </c>
      <c r="V32" s="772" t="s">
        <v>17</v>
      </c>
      <c r="W32" s="773">
        <f t="shared" si="12"/>
        <v>100</v>
      </c>
      <c r="X32" s="1810"/>
      <c r="Y32" s="3173"/>
      <c r="Z32" s="1811" t="str">
        <f t="shared" si="13"/>
        <v>毗邻道路的类型与等级</v>
      </c>
      <c r="AA32" s="1808">
        <f t="shared" si="3"/>
        <v>1</v>
      </c>
      <c r="AB32" s="1808">
        <f t="shared" si="4"/>
        <v>1</v>
      </c>
      <c r="AC32" s="1808">
        <f t="shared" si="5"/>
        <v>1</v>
      </c>
    </row>
    <row r="33" spans="1:29" ht="15">
      <c r="A33" s="427"/>
      <c r="B33" s="455"/>
      <c r="C33" s="446"/>
      <c r="D33" s="447"/>
      <c r="E33" s="2608"/>
      <c r="F33" s="447"/>
      <c r="G33" s="2608"/>
      <c r="H33" s="447"/>
      <c r="I33" s="446"/>
      <c r="J33" s="447"/>
      <c r="K33" s="612"/>
      <c r="L33" s="1137"/>
      <c r="M33" s="1128"/>
      <c r="N33" s="1128"/>
      <c r="O33" s="1136"/>
      <c r="P33" s="3173"/>
      <c r="Q33" s="1807"/>
      <c r="R33" s="772"/>
      <c r="S33" s="773"/>
      <c r="T33" s="772"/>
      <c r="U33" s="773"/>
      <c r="V33" s="772"/>
      <c r="W33" s="773"/>
      <c r="X33" s="1810"/>
      <c r="Y33" s="3173"/>
      <c r="Z33" s="1811"/>
      <c r="AA33" s="1808">
        <v>1</v>
      </c>
      <c r="AB33" s="1808">
        <v>1</v>
      </c>
      <c r="AC33" s="1808">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2</v>
      </c>
      <c r="L34" s="1137"/>
      <c r="M34" s="1128"/>
      <c r="N34" s="1128"/>
      <c r="O34" s="1136"/>
      <c r="P34" s="3173"/>
      <c r="Q34" s="1807" t="str">
        <f t="shared" si="8"/>
        <v>土地级别</v>
      </c>
      <c r="R34" s="772" t="s">
        <v>17</v>
      </c>
      <c r="S34" s="773">
        <f t="shared" si="10"/>
        <v>100</v>
      </c>
      <c r="T34" s="772" t="s">
        <v>17</v>
      </c>
      <c r="U34" s="773">
        <f t="shared" si="11"/>
        <v>100</v>
      </c>
      <c r="V34" s="772" t="s">
        <v>17</v>
      </c>
      <c r="W34" s="773">
        <f t="shared" si="12"/>
        <v>100</v>
      </c>
      <c r="X34" s="1810"/>
      <c r="Y34" s="3173"/>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173"/>
      <c r="Q35" s="1807">
        <f t="shared" si="8"/>
        <v>111</v>
      </c>
      <c r="R35" s="772" t="s">
        <v>17</v>
      </c>
      <c r="S35" s="773">
        <f t="shared" si="10"/>
        <v>100</v>
      </c>
      <c r="T35" s="772" t="s">
        <v>17</v>
      </c>
      <c r="U35" s="773">
        <f t="shared" si="11"/>
        <v>100</v>
      </c>
      <c r="V35" s="772" t="s">
        <v>17</v>
      </c>
      <c r="W35" s="773">
        <f t="shared" si="12"/>
        <v>100</v>
      </c>
      <c r="X35" s="1810"/>
      <c r="Y35" s="3173"/>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174" t="s">
        <v>2563</v>
      </c>
      <c r="Q36" s="1807">
        <f t="shared" si="8"/>
        <v>111</v>
      </c>
      <c r="R36" s="772" t="s">
        <v>17</v>
      </c>
      <c r="S36" s="773">
        <f t="shared" si="10"/>
        <v>100</v>
      </c>
      <c r="T36" s="772" t="s">
        <v>17</v>
      </c>
      <c r="U36" s="773">
        <f t="shared" si="11"/>
        <v>100</v>
      </c>
      <c r="V36" s="772" t="s">
        <v>17</v>
      </c>
      <c r="W36" s="773">
        <f t="shared" si="12"/>
        <v>100</v>
      </c>
      <c r="X36" s="1810"/>
      <c r="Y36" s="3175" t="s">
        <v>2563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175"/>
      <c r="Q37" s="1807">
        <f t="shared" si="8"/>
        <v>111</v>
      </c>
      <c r="R37" s="775" t="s">
        <v>17</v>
      </c>
      <c r="S37" s="776">
        <f t="shared" si="10"/>
        <v>100</v>
      </c>
      <c r="T37" s="775" t="s">
        <v>17</v>
      </c>
      <c r="U37" s="776">
        <f t="shared" si="11"/>
        <v>100</v>
      </c>
      <c r="V37" s="775" t="s">
        <v>17</v>
      </c>
      <c r="W37" s="776">
        <f t="shared" si="12"/>
        <v>100</v>
      </c>
      <c r="X37" s="777"/>
      <c r="Y37" s="3175"/>
      <c r="Z37" s="778">
        <f t="shared" si="13"/>
        <v>111</v>
      </c>
      <c r="AA37" s="1808">
        <f t="shared" si="3"/>
        <v>1</v>
      </c>
      <c r="AB37" s="1808">
        <f t="shared" si="4"/>
        <v>1</v>
      </c>
      <c r="AC37" s="1808">
        <f t="shared" si="5"/>
        <v>1</v>
      </c>
    </row>
    <row r="38" spans="1:29" ht="15">
      <c r="A38" s="471" t="s">
        <v>2561</v>
      </c>
      <c r="B38" s="455" t="s">
        <v>2749</v>
      </c>
      <c r="C38" s="678">
        <v>34712.6</v>
      </c>
      <c r="D38" s="466">
        <v>100</v>
      </c>
      <c r="E38" s="678">
        <f>Sheet2!D2</f>
        <v>51736.9</v>
      </c>
      <c r="F38" s="466">
        <f>LOOKUP(E38,117:117,118:118)-LOOKUP(C38,117:117,118:118)+100</f>
        <v>102</v>
      </c>
      <c r="G38" s="678">
        <f>Sheet2!D3</f>
        <v>33071.620000000003</v>
      </c>
      <c r="H38" s="466">
        <f>LOOKUP(G38,117:117,118:118)-LOOKUP(C38,117:117,118:118)+100</f>
        <v>100</v>
      </c>
      <c r="I38" s="529">
        <f>Sheet2!D4</f>
        <v>66237.2</v>
      </c>
      <c r="J38" s="466">
        <f>LOOKUP(I38,117:117,118:118)-LOOKUP(C38,117:117,118:118)+100</f>
        <v>102</v>
      </c>
      <c r="K38" s="612"/>
      <c r="L38" s="1137"/>
      <c r="M38" s="1128"/>
      <c r="N38" s="1128"/>
      <c r="O38" s="1136"/>
      <c r="P38" s="3175"/>
      <c r="Q38" s="1807" t="str">
        <f>B38</f>
        <v>宗地面积</v>
      </c>
      <c r="R38" s="772" t="s">
        <v>17</v>
      </c>
      <c r="S38" s="773">
        <f t="shared" si="10"/>
        <v>102</v>
      </c>
      <c r="T38" s="772" t="s">
        <v>17</v>
      </c>
      <c r="U38" s="773">
        <f t="shared" si="11"/>
        <v>100</v>
      </c>
      <c r="V38" s="772" t="s">
        <v>17</v>
      </c>
      <c r="W38" s="773">
        <f t="shared" si="12"/>
        <v>102</v>
      </c>
      <c r="X38" s="1810"/>
      <c r="Y38" s="3175"/>
      <c r="Z38" s="1811" t="str">
        <f t="shared" si="13"/>
        <v>宗地面积</v>
      </c>
      <c r="AA38" s="1808">
        <f t="shared" si="3"/>
        <v>0.98039215686274506</v>
      </c>
      <c r="AB38" s="1808">
        <f t="shared" si="4"/>
        <v>1</v>
      </c>
      <c r="AC38" s="1808">
        <f t="shared" si="5"/>
        <v>0.98039215686274506</v>
      </c>
    </row>
    <row r="39" spans="1:29" ht="15">
      <c r="A39" s="471"/>
      <c r="B39" s="421" t="s">
        <v>2750</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v>2</v>
      </c>
      <c r="L39" s="1137"/>
      <c r="M39" s="1128"/>
      <c r="N39" s="1128"/>
      <c r="O39" s="1136"/>
      <c r="P39" s="3175"/>
      <c r="Q39" s="1807" t="str">
        <f t="shared" ref="Q39:Q45" si="14">B39</f>
        <v>宗地形状</v>
      </c>
      <c r="R39" s="772" t="s">
        <v>17</v>
      </c>
      <c r="S39" s="773">
        <f t="shared" si="10"/>
        <v>100</v>
      </c>
      <c r="T39" s="772" t="s">
        <v>17</v>
      </c>
      <c r="U39" s="773">
        <f t="shared" si="11"/>
        <v>100</v>
      </c>
      <c r="V39" s="772" t="s">
        <v>17</v>
      </c>
      <c r="W39" s="773">
        <f t="shared" si="12"/>
        <v>100</v>
      </c>
      <c r="X39" s="1810"/>
      <c r="Y39" s="3175"/>
      <c r="Z39" s="1811" t="str">
        <f t="shared" si="13"/>
        <v>宗地形状</v>
      </c>
      <c r="AA39" s="1808">
        <f t="shared" si="3"/>
        <v>1</v>
      </c>
      <c r="AB39" s="1808">
        <f t="shared" si="4"/>
        <v>1</v>
      </c>
      <c r="AC39" s="1808">
        <f t="shared" si="5"/>
        <v>1</v>
      </c>
    </row>
    <row r="40" spans="1:29" ht="15">
      <c r="A40" s="471"/>
      <c r="B40" s="421" t="s">
        <v>2751</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v>2</v>
      </c>
      <c r="L40" s="1137"/>
      <c r="M40" s="1128"/>
      <c r="N40" s="1128"/>
      <c r="O40" s="1136"/>
      <c r="P40" s="3175"/>
      <c r="Q40" s="1807" t="str">
        <f t="shared" si="14"/>
        <v>临街宽度及深度</v>
      </c>
      <c r="R40" s="772" t="s">
        <v>17</v>
      </c>
      <c r="S40" s="773">
        <f t="shared" si="10"/>
        <v>100</v>
      </c>
      <c r="T40" s="772" t="s">
        <v>17</v>
      </c>
      <c r="U40" s="773">
        <f t="shared" si="11"/>
        <v>100</v>
      </c>
      <c r="V40" s="772" t="s">
        <v>17</v>
      </c>
      <c r="W40" s="773">
        <f t="shared" si="12"/>
        <v>100</v>
      </c>
      <c r="X40" s="1810"/>
      <c r="Y40" s="3175"/>
      <c r="Z40" s="1811" t="str">
        <f t="shared" si="13"/>
        <v>临街宽度及深度</v>
      </c>
      <c r="AA40" s="1808">
        <f t="shared" si="3"/>
        <v>1</v>
      </c>
      <c r="AB40" s="1808">
        <f t="shared" si="4"/>
        <v>1</v>
      </c>
      <c r="AC40" s="1808">
        <f t="shared" si="5"/>
        <v>1</v>
      </c>
    </row>
    <row r="41" spans="1:29" s="117" customFormat="1" ht="15">
      <c r="A41" s="472"/>
      <c r="B41" s="421" t="s">
        <v>2752</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v>2</v>
      </c>
      <c r="L41" s="1129"/>
      <c r="M41" s="1130"/>
      <c r="N41" s="1130"/>
      <c r="O41" s="1131"/>
      <c r="P41" s="3175"/>
      <c r="Q41" s="1807" t="str">
        <f t="shared" si="14"/>
        <v>宗地开发程度</v>
      </c>
      <c r="R41" s="768" t="s">
        <v>17</v>
      </c>
      <c r="S41" s="769">
        <f t="shared" si="10"/>
        <v>100</v>
      </c>
      <c r="T41" s="768" t="s">
        <v>17</v>
      </c>
      <c r="U41" s="769">
        <f t="shared" si="11"/>
        <v>100</v>
      </c>
      <c r="V41" s="768" t="s">
        <v>17</v>
      </c>
      <c r="W41" s="769">
        <f t="shared" si="12"/>
        <v>100</v>
      </c>
      <c r="X41" s="770"/>
      <c r="Y41" s="3175"/>
      <c r="Z41" s="55" t="str">
        <f t="shared" si="13"/>
        <v>宗地开发程度</v>
      </c>
      <c r="AA41" s="771">
        <f t="shared" si="3"/>
        <v>1</v>
      </c>
      <c r="AB41" s="771">
        <f t="shared" si="4"/>
        <v>1</v>
      </c>
      <c r="AC41" s="771">
        <f t="shared" si="5"/>
        <v>1</v>
      </c>
    </row>
    <row r="42" spans="1:29" ht="15">
      <c r="A42" s="471"/>
      <c r="B42" s="421" t="s">
        <v>2753</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v>2</v>
      </c>
      <c r="L42" s="1137"/>
      <c r="M42" s="1128"/>
      <c r="N42" s="1128"/>
      <c r="O42" s="1136"/>
      <c r="P42" s="3175" t="s">
        <v>2563</v>
      </c>
      <c r="Q42" s="1807" t="str">
        <f t="shared" si="14"/>
        <v>工程地质条件</v>
      </c>
      <c r="R42" s="772" t="s">
        <v>17</v>
      </c>
      <c r="S42" s="773">
        <f t="shared" si="10"/>
        <v>100</v>
      </c>
      <c r="T42" s="772" t="s">
        <v>17</v>
      </c>
      <c r="U42" s="773">
        <f t="shared" si="11"/>
        <v>100</v>
      </c>
      <c r="V42" s="772" t="s">
        <v>17</v>
      </c>
      <c r="W42" s="773">
        <f t="shared" si="12"/>
        <v>100</v>
      </c>
      <c r="X42" s="1810"/>
      <c r="Y42" s="3175" t="s">
        <v>2563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175"/>
      <c r="Q43" s="1807">
        <f t="shared" si="14"/>
        <v>111</v>
      </c>
      <c r="R43" s="772" t="s">
        <v>17</v>
      </c>
      <c r="S43" s="773">
        <f t="shared" si="10"/>
        <v>100</v>
      </c>
      <c r="T43" s="772" t="s">
        <v>17</v>
      </c>
      <c r="U43" s="773">
        <f t="shared" si="11"/>
        <v>100</v>
      </c>
      <c r="V43" s="772" t="s">
        <v>17</v>
      </c>
      <c r="W43" s="773">
        <f t="shared" si="12"/>
        <v>100</v>
      </c>
      <c r="X43" s="1810"/>
      <c r="Y43" s="317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175"/>
      <c r="Q44" s="1807">
        <f t="shared" si="14"/>
        <v>111</v>
      </c>
      <c r="R44" s="772" t="s">
        <v>17</v>
      </c>
      <c r="S44" s="773">
        <f t="shared" si="10"/>
        <v>100</v>
      </c>
      <c r="T44" s="772" t="s">
        <v>17</v>
      </c>
      <c r="U44" s="773">
        <f t="shared" si="11"/>
        <v>100</v>
      </c>
      <c r="V44" s="772" t="s">
        <v>17</v>
      </c>
      <c r="W44" s="773">
        <f t="shared" si="12"/>
        <v>100</v>
      </c>
      <c r="X44" s="1810"/>
      <c r="Y44" s="3175"/>
      <c r="Z44" s="1811">
        <f t="shared" si="13"/>
        <v>111</v>
      </c>
      <c r="AA44" s="1808">
        <f t="shared" si="3"/>
        <v>1</v>
      </c>
      <c r="AB44" s="1808">
        <f t="shared" si="4"/>
        <v>1</v>
      </c>
      <c r="AC44" s="1808">
        <f t="shared" si="5"/>
        <v>1</v>
      </c>
    </row>
    <row r="45" spans="1:29" s="470" customFormat="1" ht="15.75" thickBot="1">
      <c r="A45" s="467"/>
      <c r="B45" s="1384">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175"/>
      <c r="Q45" s="1807">
        <f t="shared" si="14"/>
        <v>111</v>
      </c>
      <c r="R45" s="775" t="s">
        <v>17</v>
      </c>
      <c r="S45" s="776">
        <f t="shared" si="10"/>
        <v>100</v>
      </c>
      <c r="T45" s="775" t="s">
        <v>17</v>
      </c>
      <c r="U45" s="776">
        <f t="shared" si="11"/>
        <v>100</v>
      </c>
      <c r="V45" s="775" t="s">
        <v>17</v>
      </c>
      <c r="W45" s="776">
        <f t="shared" si="12"/>
        <v>100</v>
      </c>
      <c r="X45" s="777"/>
      <c r="Y45" s="3175"/>
      <c r="Z45" s="778">
        <f t="shared" si="13"/>
        <v>111</v>
      </c>
      <c r="AA45" s="1808">
        <f t="shared" si="3"/>
        <v>1</v>
      </c>
      <c r="AB45" s="1808">
        <f t="shared" si="4"/>
        <v>1</v>
      </c>
      <c r="AC45" s="1808">
        <f t="shared" si="5"/>
        <v>1</v>
      </c>
    </row>
    <row r="46" spans="1:29" ht="15">
      <c r="A46" s="478" t="s">
        <v>2718</v>
      </c>
      <c r="B46" s="2701" t="s">
        <v>3217</v>
      </c>
      <c r="C46" s="681" t="s">
        <v>1</v>
      </c>
      <c r="D46" s="480"/>
      <c r="E46" s="481">
        <v>18382</v>
      </c>
      <c r="F46" s="482"/>
      <c r="G46" s="483">
        <v>14948</v>
      </c>
      <c r="H46" s="484"/>
      <c r="I46" s="481">
        <v>14580</v>
      </c>
      <c r="J46" s="484"/>
      <c r="K46" s="781"/>
      <c r="L46" s="1140"/>
      <c r="M46" s="1141"/>
      <c r="N46" s="1128"/>
      <c r="O46" s="1141"/>
      <c r="P46" s="3170" t="str">
        <f>A46</f>
        <v>成交单价</v>
      </c>
      <c r="Q46" s="3170"/>
      <c r="R46" s="3176">
        <f>E46</f>
        <v>18382</v>
      </c>
      <c r="S46" s="3176"/>
      <c r="T46" s="3176">
        <f>G46</f>
        <v>14948</v>
      </c>
      <c r="U46" s="3176"/>
      <c r="V46" s="3176">
        <f>I46</f>
        <v>14580</v>
      </c>
      <c r="W46" s="3176"/>
      <c r="X46" s="757"/>
      <c r="Y46" s="779"/>
      <c r="Z46" s="757"/>
      <c r="AA46" s="757"/>
      <c r="AB46" s="757"/>
      <c r="AC46" s="757"/>
    </row>
    <row r="47" spans="1:29" ht="15.75" thickBot="1">
      <c r="A47" s="485" t="s">
        <v>2667</v>
      </c>
      <c r="B47" s="682"/>
      <c r="C47" s="489">
        <f>R48</f>
        <v>13023</v>
      </c>
      <c r="D47" s="488"/>
      <c r="E47" s="489">
        <f>R47</f>
        <v>14204</v>
      </c>
      <c r="F47" s="490"/>
      <c r="G47" s="487">
        <f>T47</f>
        <v>12513</v>
      </c>
      <c r="H47" s="488"/>
      <c r="I47" s="489">
        <f>V47</f>
        <v>12351</v>
      </c>
      <c r="J47" s="488"/>
      <c r="K47" s="782"/>
      <c r="L47" s="1140"/>
      <c r="M47" s="1141"/>
      <c r="N47" s="1141"/>
      <c r="O47" s="1141"/>
      <c r="P47" s="3170" t="str">
        <f>A47</f>
        <v>比较价值（元/平方米）</v>
      </c>
      <c r="Q47" s="3170"/>
      <c r="R47" s="3163">
        <f>ROUND(PRODUCT(R46,AA7:AA45),0)</f>
        <v>14204</v>
      </c>
      <c r="S47" s="3163"/>
      <c r="T47" s="3163">
        <f>ROUND(PRODUCT(T46,AB7:AB45),0)</f>
        <v>12513</v>
      </c>
      <c r="U47" s="3163"/>
      <c r="V47" s="3163">
        <f>ROUND(PRODUCT(V46,AC7:AC45),0)</f>
        <v>12351</v>
      </c>
      <c r="W47" s="3163"/>
      <c r="X47" s="757"/>
      <c r="Y47" s="757"/>
      <c r="Z47" s="757"/>
      <c r="AA47" s="757"/>
      <c r="AB47" s="757"/>
      <c r="AC47" s="757"/>
    </row>
    <row r="48" spans="1:29" ht="15.75" thickBot="1">
      <c r="A48" s="491" t="s">
        <v>2754</v>
      </c>
      <c r="B48" s="492"/>
      <c r="C48" s="493">
        <f>R48</f>
        <v>13023</v>
      </c>
      <c r="D48" s="493"/>
      <c r="E48" s="493"/>
      <c r="F48" s="493"/>
      <c r="G48" s="493"/>
      <c r="H48" s="493"/>
      <c r="I48" s="493"/>
      <c r="J48" s="493"/>
      <c r="K48" s="783"/>
      <c r="L48" s="1140"/>
      <c r="M48" s="1141"/>
      <c r="N48" s="1141"/>
      <c r="O48" s="1141"/>
      <c r="P48" s="3164" t="str">
        <f>A48</f>
        <v>估价对象XX用房的比较价值（楼面单价，元/平方米）</v>
      </c>
      <c r="Q48" s="3165"/>
      <c r="R48" s="3166">
        <f>ROUND(AVERAGE(R47:V47),0)</f>
        <v>13023</v>
      </c>
      <c r="S48" s="3166"/>
      <c r="T48" s="3166"/>
      <c r="U48" s="3166"/>
      <c r="V48" s="3166"/>
      <c r="W48" s="3166"/>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2669</v>
      </c>
      <c r="D51" s="497"/>
      <c r="E51" s="498">
        <f>IF(E46&lt;E47,E47/E46-1,E46/E47-1)</f>
        <v>0.29414249507181078</v>
      </c>
      <c r="F51" s="499" t="str">
        <f>IF(OR(E51&gt;=0.3,E51&lt;=-0.3),"超过30%","")</f>
        <v/>
      </c>
      <c r="G51" s="498">
        <f>IF(G46&lt;G47,G47/G46-1,G46/G47-1)</f>
        <v>0.19459761847678414</v>
      </c>
      <c r="H51" s="499" t="str">
        <f>IF(OR(G51&gt;=0.3,G51&lt;=-0.3),"超过30%","")</f>
        <v/>
      </c>
      <c r="I51" s="498">
        <f>IF(I46&lt;I47,I47/I46-1,I46/I47-1)</f>
        <v>0.18047121690551382</v>
      </c>
      <c r="J51" s="499" t="str">
        <f>IF(OR(I51&gt;=0.3,I51&lt;=-0.3),"超过30%","")</f>
        <v/>
      </c>
      <c r="K51" s="1102"/>
      <c r="L51" s="1103"/>
      <c r="M51" s="1141"/>
      <c r="N51" s="1141"/>
      <c r="O51" s="1141"/>
    </row>
    <row r="52" spans="1:15" ht="13.5" customHeight="1">
      <c r="A52" s="1141"/>
      <c r="B52" s="1141"/>
      <c r="C52" s="496" t="s">
        <v>2670</v>
      </c>
      <c r="D52" s="500"/>
      <c r="E52" s="498">
        <f>IF(E47&lt;G47,G47/E47-1,E47/G47-1)</f>
        <v>0.13513945496683455</v>
      </c>
      <c r="F52" s="499" t="str">
        <f>IF(OR(E52&gt;=0.2,E52&lt;=-0.2),"超过20%","")</f>
        <v/>
      </c>
      <c r="G52" s="498">
        <f>IF(G47&lt;I47,I47/G47-1,G47/I47-1)</f>
        <v>1.3116346854505689E-2</v>
      </c>
      <c r="H52" s="499" t="str">
        <f>IF(OR(G52&gt;=0.2,G52&lt;=-0.2),"超过20%","")</f>
        <v/>
      </c>
      <c r="I52" s="498">
        <f>IF(I47&lt;E47,E47/I47-1,I47/E47-1)</f>
        <v>0.150028337786414</v>
      </c>
      <c r="J52" s="499" t="str">
        <f>IF(OR(I52&gt;=0.2,I52&lt;=-0.2),"超过20%","")</f>
        <v/>
      </c>
      <c r="K52" s="1102"/>
      <c r="L52" s="1103"/>
      <c r="M52" s="1141"/>
      <c r="N52" s="1141"/>
      <c r="O52" s="1141"/>
    </row>
    <row r="53" spans="1:15" s="501" customFormat="1" ht="13.5" customHeight="1">
      <c r="A53" s="1142"/>
      <c r="B53" s="1142"/>
      <c r="C53" s="496" t="s">
        <v>2671</v>
      </c>
      <c r="D53" s="500"/>
      <c r="E53" s="498">
        <f>IF(E46&lt;G46,G46/E46-1,E46/G46-1)</f>
        <v>0.22972972972972983</v>
      </c>
      <c r="F53" s="499" t="str">
        <f>IF(OR(E53&gt;=0.3,E53&lt;=-0.3),"超过30%","")</f>
        <v/>
      </c>
      <c r="G53" s="498">
        <f>IF(G46&lt;I46,I46/G46-1,G46/I46-1)</f>
        <v>2.5240054869684503E-2</v>
      </c>
      <c r="H53" s="499" t="str">
        <f>IF(OR(G53&gt;=0.3,G53&lt;=-0.3),"超过30%","")</f>
        <v/>
      </c>
      <c r="I53" s="498">
        <f>IF(I46&lt;E46,E46/I46-1,I46/E46-1)</f>
        <v>0.26076817558299048</v>
      </c>
      <c r="J53" s="499" t="str">
        <f>IF(OR(I53&gt;=0.3,I53&lt;=-0.3),"超过30%","")</f>
        <v/>
      </c>
      <c r="K53" s="1145"/>
      <c r="L53" s="1146"/>
      <c r="M53" s="1142"/>
      <c r="N53" s="1142"/>
      <c r="O53" s="1142"/>
    </row>
    <row r="54" spans="1:15" s="501" customFormat="1" ht="15" thickBot="1">
      <c r="A54" s="1142"/>
      <c r="B54" s="1143"/>
      <c r="C54" s="760"/>
      <c r="D54" s="758"/>
      <c r="E54" s="758"/>
      <c r="F54" s="758"/>
      <c r="G54" s="758"/>
      <c r="H54" s="758"/>
      <c r="I54" s="758"/>
      <c r="J54" s="758"/>
      <c r="K54" s="1145"/>
      <c r="L54" s="1146"/>
      <c r="M54" s="1142"/>
      <c r="N54" s="1142"/>
      <c r="O54" s="1142"/>
    </row>
    <row r="55" spans="1:15" ht="27" customHeight="1">
      <c r="A55" s="683" t="s">
        <v>2755</v>
      </c>
      <c r="B55" s="684" t="s">
        <v>2756</v>
      </c>
      <c r="C55" s="2702" t="s">
        <v>2757</v>
      </c>
      <c r="D55" s="2703" t="s">
        <v>2758</v>
      </c>
      <c r="E55" s="685" t="s">
        <v>2759</v>
      </c>
      <c r="F55" s="1104" t="s">
        <v>2760</v>
      </c>
      <c r="G55" s="3167" t="s">
        <v>2761</v>
      </c>
      <c r="H55" s="3168"/>
      <c r="I55" s="143" t="s">
        <v>2762</v>
      </c>
      <c r="J55" s="2704">
        <f>项目基本情况!F35</f>
        <v>0</v>
      </c>
      <c r="K55" s="2705" t="s">
        <v>2763</v>
      </c>
      <c r="L55" s="1103"/>
      <c r="M55" s="1141"/>
      <c r="N55" s="1141"/>
      <c r="O55" s="1141"/>
    </row>
    <row r="56" spans="1:15" s="691" customFormat="1">
      <c r="A56" s="687" t="s">
        <v>2764</v>
      </c>
      <c r="B56" s="688">
        <f>C48</f>
        <v>13023</v>
      </c>
      <c r="C56" s="689">
        <v>1</v>
      </c>
      <c r="D56" s="1160">
        <v>1</v>
      </c>
      <c r="E56" s="689">
        <f>'数据-汇总表'!E8+'数据-汇总表'!E9</f>
        <v>37202.92</v>
      </c>
      <c r="F56" s="1100">
        <f t="shared" ref="F56:F65" si="15">ROUND(B56*E56/10000,0)</f>
        <v>48449</v>
      </c>
      <c r="G56" s="3169"/>
      <c r="H56" s="3170"/>
      <c r="I56" s="1105">
        <v>1</v>
      </c>
      <c r="J56" s="1108">
        <v>1</v>
      </c>
      <c r="K56" s="1142"/>
      <c r="L56" s="938"/>
      <c r="M56" s="938"/>
      <c r="N56" s="938"/>
      <c r="O56" s="938"/>
    </row>
    <row r="57" spans="1:15" s="691" customFormat="1">
      <c r="A57" s="692" t="s">
        <v>2765</v>
      </c>
      <c r="B57" s="261">
        <f>ROUND($C$48*C57*D57,0)</f>
        <v>2279</v>
      </c>
      <c r="C57" s="199">
        <f t="shared" ref="C57:C65" si="16">IF($C$55="北京市系数",I57,J57)</f>
        <v>0.7</v>
      </c>
      <c r="D57" s="1161">
        <v>0.25</v>
      </c>
      <c r="E57" s="693"/>
      <c r="F57" s="1100">
        <f t="shared" si="15"/>
        <v>0</v>
      </c>
      <c r="G57" s="3171" t="s">
        <v>2766</v>
      </c>
      <c r="H57" s="1101" t="str">
        <f>项目基本情况!B37</f>
        <v>六级</v>
      </c>
      <c r="I57" s="1105">
        <f>SUMIF(修正!A45:A56,H57,修正!B45:B56)</f>
        <v>0.7</v>
      </c>
      <c r="J57" s="1109"/>
      <c r="K57" s="1141"/>
      <c r="L57" s="938"/>
      <c r="M57" s="938"/>
      <c r="N57" s="938"/>
      <c r="O57" s="938"/>
    </row>
    <row r="58" spans="1:15" s="691" customFormat="1">
      <c r="A58" s="692" t="s">
        <v>2767</v>
      </c>
      <c r="B58" s="261">
        <f t="shared" ref="B58:B65" si="17">ROUND($C$48*C58*D58,0)</f>
        <v>1302</v>
      </c>
      <c r="C58" s="199">
        <f t="shared" si="16"/>
        <v>0.4</v>
      </c>
      <c r="D58" s="1161">
        <v>0.25</v>
      </c>
      <c r="E58" s="693">
        <f>'数据-汇总表'!G19/2</f>
        <v>5882.5</v>
      </c>
      <c r="F58" s="1100">
        <f t="shared" si="15"/>
        <v>766</v>
      </c>
      <c r="G58" s="3171"/>
      <c r="H58" s="1101" t="str">
        <f>项目基本情况!B37</f>
        <v>六级</v>
      </c>
      <c r="I58" s="1105">
        <f>SUMIF(修正!A45:A56,H58,修正!C45:C56)</f>
        <v>0.4</v>
      </c>
      <c r="J58" s="1109"/>
      <c r="K58" s="1142"/>
      <c r="L58" s="938"/>
      <c r="M58" s="938"/>
      <c r="N58" s="938"/>
      <c r="O58" s="938"/>
    </row>
    <row r="59" spans="1:15" s="691" customFormat="1">
      <c r="A59" s="692" t="s">
        <v>2768</v>
      </c>
      <c r="B59" s="261">
        <f t="shared" si="17"/>
        <v>912</v>
      </c>
      <c r="C59" s="199">
        <f t="shared" si="16"/>
        <v>0.28000000000000003</v>
      </c>
      <c r="D59" s="1161">
        <v>0.25</v>
      </c>
      <c r="E59" s="693"/>
      <c r="F59" s="1100">
        <f t="shared" si="15"/>
        <v>0</v>
      </c>
      <c r="G59" s="3171"/>
      <c r="H59" s="1101" t="str">
        <f>项目基本情况!B37</f>
        <v>六级</v>
      </c>
      <c r="I59" s="1105">
        <f>SUMIF(修正!A45:A56,H59,修正!D45:D56)</f>
        <v>0.28000000000000003</v>
      </c>
      <c r="J59" s="1109"/>
      <c r="K59" s="1141"/>
      <c r="L59" s="938"/>
      <c r="M59" s="938"/>
      <c r="N59" s="938"/>
      <c r="O59" s="938"/>
    </row>
    <row r="60" spans="1:15" s="691" customFormat="1">
      <c r="A60" s="692" t="s">
        <v>2769</v>
      </c>
      <c r="B60" s="261">
        <f t="shared" si="17"/>
        <v>814</v>
      </c>
      <c r="C60" s="199">
        <f t="shared" si="16"/>
        <v>0.25</v>
      </c>
      <c r="D60" s="1161">
        <v>0.25</v>
      </c>
      <c r="E60" s="693"/>
      <c r="F60" s="1100">
        <f t="shared" si="15"/>
        <v>0</v>
      </c>
      <c r="G60" s="3171"/>
      <c r="H60" s="1101" t="str">
        <f>项目基本情况!B37</f>
        <v>六级</v>
      </c>
      <c r="I60" s="1105">
        <f>SUMIF(修正!A45:A56,H60,修正!E45:E56)</f>
        <v>0.25</v>
      </c>
      <c r="J60" s="1109"/>
      <c r="K60" s="1142"/>
      <c r="L60" s="938"/>
      <c r="M60" s="938"/>
      <c r="N60" s="938"/>
      <c r="O60" s="938"/>
    </row>
    <row r="61" spans="1:15" s="691" customFormat="1">
      <c r="A61" s="692" t="s">
        <v>2770</v>
      </c>
      <c r="B61" s="261">
        <f t="shared" si="17"/>
        <v>814</v>
      </c>
      <c r="C61" s="199">
        <f t="shared" si="16"/>
        <v>0.25</v>
      </c>
      <c r="D61" s="1161">
        <v>0.25</v>
      </c>
      <c r="E61" s="260">
        <f>'数据-汇总表'!E11</f>
        <v>0</v>
      </c>
      <c r="F61" s="1100">
        <f t="shared" si="15"/>
        <v>0</v>
      </c>
      <c r="G61" s="2706" t="s">
        <v>2771</v>
      </c>
      <c r="H61" s="1101" t="str">
        <f>项目基本情况!C37</f>
        <v>六级</v>
      </c>
      <c r="I61" s="1105">
        <f>SUMIF(修正!A45:A56,H61,修正!F45:F56)</f>
        <v>0.25</v>
      </c>
      <c r="J61" s="1109"/>
      <c r="K61" s="1141"/>
      <c r="L61" s="938"/>
      <c r="M61" s="938"/>
      <c r="N61" s="938"/>
      <c r="O61" s="938"/>
    </row>
    <row r="62" spans="1:15" s="691" customFormat="1">
      <c r="A62" s="692" t="s">
        <v>2772</v>
      </c>
      <c r="B62" s="261">
        <f t="shared" si="17"/>
        <v>814</v>
      </c>
      <c r="C62" s="199">
        <f t="shared" si="16"/>
        <v>0.25</v>
      </c>
      <c r="D62" s="1161">
        <v>0.25</v>
      </c>
      <c r="E62" s="260">
        <f>'数据-汇总表'!E12</f>
        <v>0</v>
      </c>
      <c r="F62" s="1100">
        <f t="shared" si="15"/>
        <v>0</v>
      </c>
      <c r="G62" s="1106" t="s">
        <v>1373</v>
      </c>
      <c r="H62" s="1101" t="str">
        <f>IF(G62="商业",项目基本情况!B37,IF(G62="办公",项目基本情况!C37,IF(G62="住宅",项目基本情况!D37,项目基本情况!E37)))</f>
        <v>六级</v>
      </c>
      <c r="I62" s="1105">
        <f>SUMIF(修正!A45:A56,H62,修正!G45:G56)</f>
        <v>0.25</v>
      </c>
      <c r="J62" s="1109"/>
      <c r="K62" s="1142"/>
      <c r="L62" s="938"/>
      <c r="M62" s="938"/>
      <c r="N62" s="938"/>
      <c r="O62" s="938"/>
    </row>
    <row r="63" spans="1:15" s="691" customFormat="1">
      <c r="A63" s="692" t="s">
        <v>2774</v>
      </c>
      <c r="B63" s="261">
        <f t="shared" si="17"/>
        <v>0</v>
      </c>
      <c r="C63" s="199">
        <f t="shared" si="16"/>
        <v>0</v>
      </c>
      <c r="D63" s="1161">
        <v>0.25</v>
      </c>
      <c r="E63" s="260">
        <f>'数据-汇总表'!E13</f>
        <v>0</v>
      </c>
      <c r="F63" s="1100">
        <f t="shared" si="15"/>
        <v>0</v>
      </c>
      <c r="G63" s="1106" t="s">
        <v>2775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2776</v>
      </c>
      <c r="B64" s="261">
        <f t="shared" si="17"/>
        <v>651</v>
      </c>
      <c r="C64" s="199">
        <f t="shared" si="16"/>
        <v>0.2</v>
      </c>
      <c r="D64" s="1161">
        <v>0.25</v>
      </c>
      <c r="E64" s="260">
        <f>'数据-汇总表'!E14</f>
        <v>0</v>
      </c>
      <c r="F64" s="1100">
        <f t="shared" si="15"/>
        <v>0</v>
      </c>
      <c r="G64" s="2706" t="s">
        <v>2766</v>
      </c>
      <c r="H64" s="1101" t="str">
        <f>项目基本情况!B37</f>
        <v>六级</v>
      </c>
      <c r="I64" s="1105">
        <f>SUMIF(修正!A45:A56,H64,修正!H45:H56)</f>
        <v>0.2</v>
      </c>
      <c r="J64" s="1109"/>
      <c r="K64" s="1142"/>
      <c r="L64" s="938"/>
      <c r="M64" s="938"/>
      <c r="N64" s="938"/>
      <c r="O64" s="938"/>
    </row>
    <row r="65" spans="1:17" s="691" customFormat="1" ht="15" thickBot="1">
      <c r="A65" s="692" t="s">
        <v>2777</v>
      </c>
      <c r="B65" s="261">
        <f t="shared" si="17"/>
        <v>651</v>
      </c>
      <c r="C65" s="199">
        <f t="shared" si="16"/>
        <v>0.2</v>
      </c>
      <c r="D65" s="1161">
        <v>0.25</v>
      </c>
      <c r="E65" s="260">
        <f>'数据-汇总表'!E15</f>
        <v>0</v>
      </c>
      <c r="F65" s="1100">
        <f t="shared" si="15"/>
        <v>0</v>
      </c>
      <c r="G65" s="2707" t="s">
        <v>2771</v>
      </c>
      <c r="H65" s="1111" t="str">
        <f>项目基本情况!C37</f>
        <v>六级</v>
      </c>
      <c r="I65" s="1107">
        <f>SUMIF(修正!A45:A56,H65,修正!H45:H56)</f>
        <v>0.2</v>
      </c>
      <c r="J65" s="1110"/>
      <c r="K65" s="1141"/>
      <c r="L65" s="938"/>
      <c r="M65" s="938"/>
      <c r="N65" s="938"/>
      <c r="O65" s="938"/>
    </row>
    <row r="66" spans="1:17" s="691" customFormat="1" ht="13.5" thickBot="1">
      <c r="A66" s="694" t="s">
        <v>2778</v>
      </c>
      <c r="B66" s="695" t="s">
        <v>28</v>
      </c>
      <c r="C66" s="695" t="s">
        <v>29</v>
      </c>
      <c r="D66" s="695" t="s">
        <v>1026</v>
      </c>
      <c r="E66" s="695">
        <f>IF(B46="楼面地价",SUM(E56:E65),'数据-汇总表'!D3)</f>
        <v>43085.42</v>
      </c>
      <c r="F66" s="696">
        <f>IF(B46="楼面地价",SUM(F56:F65),ROUND(C48*E66/10000,0))</f>
        <v>49215</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2019-5-1</v>
      </c>
      <c r="D68" s="759">
        <f>EDATE(C68,-3)</f>
        <v>43497</v>
      </c>
      <c r="E68" s="759">
        <f>EDATE(D68,-3)</f>
        <v>43405</v>
      </c>
      <c r="F68" s="759">
        <f t="shared" ref="F68:O68" si="18">EDATE(E68,-3)</f>
        <v>43313</v>
      </c>
      <c r="G68" s="759">
        <f t="shared" si="18"/>
        <v>43221</v>
      </c>
      <c r="H68" s="759">
        <f t="shared" si="18"/>
        <v>43132</v>
      </c>
      <c r="I68" s="759">
        <f t="shared" si="18"/>
        <v>43040</v>
      </c>
      <c r="J68" s="759">
        <f t="shared" si="18"/>
        <v>42948</v>
      </c>
      <c r="K68" s="759">
        <f t="shared" si="18"/>
        <v>42856</v>
      </c>
      <c r="L68" s="759">
        <f t="shared" si="18"/>
        <v>42767</v>
      </c>
      <c r="M68" s="759">
        <f t="shared" si="18"/>
        <v>42675</v>
      </c>
      <c r="N68" s="759">
        <f t="shared" si="18"/>
        <v>42583</v>
      </c>
      <c r="O68" s="759">
        <f t="shared" si="18"/>
        <v>42491</v>
      </c>
    </row>
    <row r="69" spans="1:17" ht="21.75" thickBot="1">
      <c r="A69" s="761" t="s">
        <v>2672</v>
      </c>
      <c r="B69" s="757"/>
      <c r="C69" s="762"/>
      <c r="D69" s="762"/>
      <c r="E69" s="762"/>
      <c r="F69" s="763"/>
      <c r="G69" s="763"/>
      <c r="H69" s="762"/>
      <c r="I69" s="762"/>
      <c r="J69" s="1156"/>
      <c r="K69" s="1157"/>
      <c r="L69" s="1158"/>
      <c r="M69" s="1156"/>
      <c r="N69" s="1156"/>
      <c r="O69" s="1156"/>
      <c r="P69" s="502"/>
      <c r="Q69" s="503"/>
    </row>
    <row r="70" spans="1:17" s="507" customFormat="1" ht="15">
      <c r="A70" s="2708" t="s">
        <v>2779</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7" customFormat="1" ht="30" customHeight="1">
      <c r="A71" s="2709" t="s">
        <v>2780</v>
      </c>
      <c r="B71" s="331" t="str">
        <f>"北京市平均增长率"&amp;TEXT(SUMIF(基准地价修正!N21:N25,A71,基准地价修正!P21:P25),"0.00%")</f>
        <v>北京市平均增长率2.26%</v>
      </c>
      <c r="C71" s="602">
        <v>100</v>
      </c>
      <c r="D71" s="594">
        <v>99</v>
      </c>
      <c r="E71" s="594">
        <v>98</v>
      </c>
      <c r="F71" s="594">
        <v>97</v>
      </c>
      <c r="G71" s="594">
        <v>96</v>
      </c>
      <c r="H71" s="594">
        <v>95</v>
      </c>
      <c r="I71" s="594">
        <v>94</v>
      </c>
      <c r="J71" s="594">
        <v>93</v>
      </c>
      <c r="K71" s="594">
        <v>92</v>
      </c>
      <c r="L71" s="594">
        <v>91</v>
      </c>
      <c r="M71" s="1564">
        <v>90</v>
      </c>
      <c r="N71" s="594"/>
      <c r="O71" s="1565"/>
      <c r="P71" s="503"/>
    </row>
    <row r="72" spans="1:17" s="117" customFormat="1" ht="15.75" thickBot="1">
      <c r="A72" s="514" t="s">
        <v>2583</v>
      </c>
      <c r="B72" s="515"/>
      <c r="C72" s="516"/>
      <c r="D72" s="517"/>
      <c r="E72" s="517"/>
      <c r="F72" s="517"/>
      <c r="G72" s="517"/>
      <c r="H72" s="517"/>
      <c r="I72" s="517"/>
      <c r="J72" s="517"/>
      <c r="K72" s="517"/>
      <c r="L72" s="517"/>
      <c r="M72" s="518"/>
      <c r="N72" s="517"/>
      <c r="O72" s="1159"/>
      <c r="P72" s="503"/>
      <c r="Q72" s="503"/>
    </row>
    <row r="73" spans="1:17" s="117" customFormat="1" ht="15">
      <c r="A73" s="520" t="s">
        <v>2548</v>
      </c>
      <c r="B73" s="509"/>
      <c r="C73" s="521" t="s">
        <v>2650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2586</v>
      </c>
      <c r="B75" s="527" t="s">
        <v>2552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2555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v>0</v>
      </c>
      <c r="D80" s="548">
        <v>1</v>
      </c>
      <c r="E80" s="548">
        <v>2</v>
      </c>
      <c r="F80" s="548">
        <v>3</v>
      </c>
      <c r="G80" s="548">
        <v>4</v>
      </c>
      <c r="H80" s="548"/>
      <c r="I80" s="548"/>
      <c r="J80" s="548"/>
      <c r="K80" s="549"/>
      <c r="L80" s="550"/>
      <c r="M80" s="551"/>
      <c r="N80" s="1149"/>
      <c r="O80" s="1149"/>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49"/>
      <c r="O88" s="1149"/>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0"/>
      <c r="O89" s="1150"/>
      <c r="P89" s="45"/>
      <c r="Q89" s="503"/>
    </row>
    <row r="90" spans="1:17" ht="15.75" thickTop="1">
      <c r="A90" s="533"/>
      <c r="B90" s="537" t="s">
        <v>2781</v>
      </c>
      <c r="C90" s="577" t="s">
        <v>2595</v>
      </c>
      <c r="D90" s="577" t="s">
        <v>2596</v>
      </c>
      <c r="E90" s="577" t="s">
        <v>2597</v>
      </c>
      <c r="F90" s="577" t="s">
        <v>2598</v>
      </c>
      <c r="G90" s="577" t="s">
        <v>2599</v>
      </c>
      <c r="H90" s="538"/>
      <c r="I90" s="538"/>
      <c r="J90" s="538"/>
      <c r="K90" s="539"/>
      <c r="L90" s="540"/>
      <c r="M90" s="541"/>
      <c r="N90" s="1149"/>
      <c r="O90" s="1149"/>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0"/>
      <c r="O91" s="1150"/>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49"/>
      <c r="O92" s="1149"/>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0"/>
      <c r="O93" s="1150"/>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49"/>
      <c r="O94" s="1149"/>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0"/>
      <c r="O95" s="1150"/>
      <c r="P95" s="45"/>
      <c r="Q95" s="503"/>
    </row>
    <row r="96" spans="1:17" s="117" customFormat="1" ht="15.75" thickTop="1">
      <c r="A96" s="578"/>
      <c r="B96" s="537" t="s">
        <v>2782</v>
      </c>
      <c r="C96" s="577" t="s">
        <v>2595</v>
      </c>
      <c r="D96" s="577" t="s">
        <v>2596</v>
      </c>
      <c r="E96" s="577" t="s">
        <v>2597</v>
      </c>
      <c r="F96" s="577" t="s">
        <v>2598</v>
      </c>
      <c r="G96" s="577" t="s">
        <v>2599</v>
      </c>
      <c r="H96" s="577"/>
      <c r="I96" s="577"/>
      <c r="J96" s="577"/>
      <c r="K96" s="577"/>
      <c r="L96" s="697"/>
      <c r="M96" s="621"/>
      <c r="N96" s="1148"/>
      <c r="O96" s="1148"/>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0"/>
      <c r="O97" s="1150"/>
      <c r="P97" s="45"/>
      <c r="Q97" s="503"/>
    </row>
    <row r="98" spans="1:17" s="117" customFormat="1" ht="27.75" thickTop="1">
      <c r="A98" s="578"/>
      <c r="B98" s="537" t="s">
        <v>2783</v>
      </c>
      <c r="C98" s="572" t="s">
        <v>2595</v>
      </c>
      <c r="D98" s="572" t="s">
        <v>2596</v>
      </c>
      <c r="E98" s="572" t="s">
        <v>2597</v>
      </c>
      <c r="F98" s="572" t="s">
        <v>2598</v>
      </c>
      <c r="G98" s="572" t="s">
        <v>2599</v>
      </c>
      <c r="H98" s="577"/>
      <c r="I98" s="577"/>
      <c r="J98" s="577"/>
      <c r="K98" s="577"/>
      <c r="L98" s="577"/>
      <c r="M98" s="621"/>
      <c r="N98" s="1148"/>
      <c r="O98" s="1148"/>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0"/>
      <c r="O99" s="1150"/>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1"/>
      <c r="O100" s="1151"/>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1"/>
      <c r="O101" s="1151"/>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2"/>
      <c r="N102" s="1151"/>
      <c r="O102" s="1151"/>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1"/>
      <c r="O103" s="1151"/>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49"/>
      <c r="O104" s="1149"/>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0"/>
      <c r="O105" s="1150"/>
      <c r="P105" s="45"/>
      <c r="Q105" s="503"/>
    </row>
    <row r="106" spans="1:17" ht="27.75" thickTop="1">
      <c r="A106" s="533"/>
      <c r="B106" s="537" t="s">
        <v>2689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0"/>
      <c r="O107" s="1150"/>
      <c r="P107" s="45"/>
      <c r="Q107" s="503"/>
    </row>
    <row r="108" spans="1:17" ht="15.75" thickTop="1">
      <c r="A108" s="533"/>
      <c r="B108" s="537" t="s">
        <v>2748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ht="28.5">
      <c r="A116" s="526" t="s">
        <v>2561</v>
      </c>
      <c r="B116" s="527" t="s">
        <v>2788</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49"/>
      <c r="O117" s="1149"/>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0"/>
      <c r="O118" s="1150"/>
      <c r="P118" s="45"/>
      <c r="Q118" s="503"/>
    </row>
    <row r="119" spans="1:17" ht="15" thickTop="1">
      <c r="A119" s="598"/>
      <c r="B119" s="537" t="s">
        <v>2789</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0"/>
      <c r="O120" s="1150"/>
      <c r="P120" s="45"/>
      <c r="Q120" s="503"/>
    </row>
    <row r="121" spans="1:17" ht="15" thickTop="1">
      <c r="A121" s="598"/>
      <c r="B121" s="537" t="s">
        <v>2790</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0"/>
      <c r="O122" s="1150"/>
      <c r="P122" s="45"/>
      <c r="Q122" s="503"/>
    </row>
    <row r="123" spans="1:17" s="470" customFormat="1" ht="15" thickTop="1">
      <c r="A123" s="592"/>
      <c r="B123" s="537" t="s">
        <v>2791</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1"/>
      <c r="O124" s="1151"/>
      <c r="P124" s="557"/>
      <c r="Q124" s="558"/>
    </row>
    <row r="125" spans="1:17" ht="15" thickTop="1">
      <c r="A125" s="598"/>
      <c r="B125" s="537" t="s">
        <v>2792</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8" sqref="E38"/>
    </sheetView>
  </sheetViews>
  <sheetFormatPr defaultColWidth="12" defaultRowHeight="12.75"/>
  <cols>
    <col min="1" max="1" width="9.75" style="2784" customWidth="1"/>
    <col min="2" max="2" width="19.25" style="2890" customWidth="1"/>
    <col min="3" max="4" width="12" style="2717"/>
    <col min="5" max="5" width="14.625" style="2717" customWidth="1"/>
    <col min="6" max="8" width="12" style="2717"/>
    <col min="9" max="9" width="12.25" style="2717" bestFit="1" customWidth="1"/>
    <col min="10" max="10" width="12" style="2717"/>
    <col min="11" max="11" width="8.125" style="2779" customWidth="1"/>
    <col min="12" max="12" width="12" style="2717"/>
    <col min="13" max="13" width="8.5" style="2717" customWidth="1"/>
    <col min="14" max="14" width="9.75" style="2717" customWidth="1"/>
    <col min="15" max="25" width="12" style="2717"/>
    <col min="26" max="26" width="9.375" style="2784" customWidth="1"/>
    <col min="27" max="32" width="9.375" style="1369" customWidth="1"/>
    <col min="33" max="36" width="9.375" style="2784" customWidth="1"/>
    <col min="37" max="38" width="9.375" style="2717" customWidth="1"/>
    <col min="39" max="16384" width="12" style="2717"/>
  </cols>
  <sheetData>
    <row r="1" spans="1:36" ht="28.5">
      <c r="A1" s="239" t="s">
        <v>2801</v>
      </c>
      <c r="B1" s="240"/>
      <c r="C1" s="244" t="s">
        <v>2802</v>
      </c>
      <c r="D1" s="387">
        <f>SUM(D29:D30,D33:D39)</f>
        <v>48967.92</v>
      </c>
      <c r="E1" s="2714"/>
      <c r="F1" s="2714"/>
      <c r="G1" s="2714"/>
      <c r="H1" s="2714"/>
      <c r="I1" s="2714"/>
      <c r="J1" s="2714"/>
      <c r="K1" s="1367"/>
      <c r="L1" s="2715" t="s">
        <v>2803</v>
      </c>
      <c r="M1" s="1077">
        <f>SUMPRODUCT((区片价!B5:B9=I2)*(区片价!C3:F3=E2)*(区片价!C5:F9))</f>
        <v>0</v>
      </c>
      <c r="N1" s="1080">
        <f>SUMPRODUCT((因素修正幅度!B5:B9=I2)*(因素修正幅度!C3:F3=E2)*(因素修正幅度!C5:F9))</f>
        <v>0</v>
      </c>
      <c r="O1" s="2716"/>
      <c r="P1" s="2716"/>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4" t="s">
        <v>2809</v>
      </c>
      <c r="B2" s="247">
        <f ca="1">C26</f>
        <v>35942</v>
      </c>
      <c r="C2" s="2718" t="s">
        <v>2810</v>
      </c>
      <c r="D2" s="2719" t="s">
        <v>2811</v>
      </c>
      <c r="E2" s="2720" t="s">
        <v>1373</v>
      </c>
      <c r="F2" s="2719" t="s">
        <v>2812</v>
      </c>
      <c r="G2" s="2721" t="str">
        <f>IF(E2="商业",项目基本情况!B37,IF(E2="办公",项目基本情况!C37,IF(E2="住宅",项目基本情况!D37,项目基本情况!E37)))</f>
        <v>六级</v>
      </c>
      <c r="H2" s="2719" t="s">
        <v>2813</v>
      </c>
      <c r="I2" s="2721" t="str">
        <f>IF(E2="商业",项目基本情况!B38,IF(E2="办公",项目基本情况!C38,IF(E2="住宅",项目基本情况!D38,项目基本情况!E38)))</f>
        <v>Ⅵ-亦1</v>
      </c>
      <c r="J2" s="2722"/>
      <c r="K2" s="1367"/>
      <c r="L2" s="2723"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19449</v>
      </c>
      <c r="U2" s="1600"/>
      <c r="V2" s="1599">
        <f ca="1">ROUND(T2*U2/10000,0)</f>
        <v>0</v>
      </c>
      <c r="W2" s="1603"/>
      <c r="X2" s="1603"/>
      <c r="Y2" s="1603"/>
      <c r="Z2" s="1603"/>
      <c r="AA2" s="1603"/>
      <c r="AB2" s="1603"/>
      <c r="AC2" s="1604"/>
      <c r="AD2" s="1605"/>
      <c r="AE2" s="1605"/>
      <c r="AF2" s="1605"/>
      <c r="AG2" s="1605"/>
      <c r="AH2" s="1605"/>
      <c r="AI2" s="1605"/>
      <c r="AJ2" s="1606"/>
    </row>
    <row r="3" spans="1:36" ht="15.75">
      <c r="A3" s="246" t="s">
        <v>2815</v>
      </c>
      <c r="B3" s="247">
        <f ca="1">ROUND(B2*10000/D1,0)</f>
        <v>7340</v>
      </c>
      <c r="C3" s="2718" t="s">
        <v>2816</v>
      </c>
      <c r="D3" s="2719" t="s">
        <v>2817</v>
      </c>
      <c r="E3" s="2724" t="s">
        <v>3070</v>
      </c>
      <c r="F3" s="3310" t="s">
        <v>3071</v>
      </c>
      <c r="G3" s="914">
        <f>IF(F3="宗地容积率",'数据-汇总表'!I4,IF(F3="估价对象容积率",'数据-汇总表'!I6,'数据-汇总表'!I7))</f>
        <v>4.1500000000000004</v>
      </c>
      <c r="H3" s="197" t="s">
        <v>2818</v>
      </c>
      <c r="I3" s="941"/>
      <c r="J3" s="2722" t="s">
        <v>2819</v>
      </c>
      <c r="K3" s="1367"/>
      <c r="L3" s="2723"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13961</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09"/>
      <c r="B4" s="3210"/>
      <c r="C4" s="3210"/>
      <c r="D4" s="3211"/>
      <c r="E4" s="3211"/>
      <c r="F4" s="3211"/>
      <c r="G4" s="3211"/>
      <c r="H4" s="3211"/>
      <c r="I4" s="3211"/>
      <c r="J4" s="3212"/>
      <c r="K4" s="1367"/>
      <c r="L4" s="2723"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11263</v>
      </c>
      <c r="U4" s="1600"/>
      <c r="V4" s="1599">
        <f t="shared" ca="1" si="1"/>
        <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2822</v>
      </c>
      <c r="C5" s="915">
        <f>ROUND(IF(E2="商业",C6*C7+C16,(IF(E2="住宅",C6*C12+C16,C6+C16))),0)</f>
        <v>9800</v>
      </c>
      <c r="D5" s="1784">
        <f>ROUND(IF(F17="增加",C6+C16,C6-C16),0)</f>
        <v>9840</v>
      </c>
      <c r="E5" s="1784"/>
      <c r="F5" s="2727"/>
      <c r="G5" s="2728"/>
      <c r="H5" s="2728"/>
      <c r="I5" s="2728"/>
      <c r="J5" s="2729"/>
      <c r="K5" s="2730"/>
      <c r="L5" s="2723" t="s">
        <v>2823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9037</v>
      </c>
      <c r="U5" s="1600"/>
      <c r="V5" s="1599">
        <f t="shared" ca="1" si="1"/>
        <v>0</v>
      </c>
      <c r="W5" s="1603"/>
      <c r="X5" s="1603"/>
      <c r="Y5" s="1603"/>
      <c r="Z5" s="1603"/>
      <c r="AA5" s="1603"/>
      <c r="AB5" s="1603"/>
      <c r="AC5" s="2731"/>
      <c r="AD5" s="2732"/>
      <c r="AE5" s="2732"/>
      <c r="AF5" s="2732"/>
      <c r="AG5" s="2732"/>
      <c r="AH5" s="2732"/>
      <c r="AI5" s="2732"/>
      <c r="AJ5" s="2733"/>
    </row>
    <row r="6" spans="1:36" ht="15.75" thickBot="1">
      <c r="A6" s="2735" t="s">
        <v>2824</v>
      </c>
      <c r="B6" s="2736" t="s">
        <v>2825</v>
      </c>
      <c r="C6" s="916">
        <f>SUMIF(L1:L12,G2,M1:M12)</f>
        <v>9820</v>
      </c>
      <c r="D6" s="2737" t="s">
        <v>2826</v>
      </c>
      <c r="E6" s="2738"/>
      <c r="F6" s="2738"/>
      <c r="G6" s="2739"/>
      <c r="H6" s="2739"/>
      <c r="I6" s="2739"/>
      <c r="J6" s="2740"/>
      <c r="K6" s="1839"/>
      <c r="L6" s="2723" t="s">
        <v>2827</v>
      </c>
      <c r="M6" s="1078">
        <f>SUMPRODUCT((区片价!B110:B157=I2)*(区片价!C3:F3=E2)*(区片价!C110:F157))</f>
        <v>9820</v>
      </c>
      <c r="N6" s="1080">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7696</v>
      </c>
      <c r="U6" s="1600"/>
      <c r="V6" s="1599">
        <f t="shared" ca="1" si="1"/>
        <v>0</v>
      </c>
      <c r="W6" s="1603"/>
      <c r="X6" s="1603"/>
      <c r="Y6" s="1603"/>
      <c r="Z6" s="1603"/>
      <c r="AA6" s="1603"/>
      <c r="AB6" s="1603"/>
      <c r="AC6" s="2731"/>
      <c r="AD6" s="2732"/>
      <c r="AE6" s="2732"/>
      <c r="AF6" s="2732"/>
      <c r="AG6" s="2732"/>
      <c r="AH6" s="2732"/>
      <c r="AI6" s="2732"/>
      <c r="AJ6" s="2733"/>
    </row>
    <row r="7" spans="1:36" ht="24" hidden="1">
      <c r="A7" s="3213" t="str">
        <f>IF(E2="商业",IF(C8="不临58条商业街","",2),"")</f>
        <v/>
      </c>
      <c r="B7" s="2741" t="s">
        <v>2828</v>
      </c>
      <c r="C7" s="917">
        <f>IF(C8="不临58条商业街",1,ROUND(1+(1.6*E8+1.2*E9+0.8*E10+0.4*E11)*C9,4))</f>
        <v>1</v>
      </c>
      <c r="D7" s="2742" t="s">
        <v>2829</v>
      </c>
      <c r="E7" s="942"/>
      <c r="F7" s="2743"/>
      <c r="G7" s="2744"/>
      <c r="H7" s="2744"/>
      <c r="I7" s="2744"/>
      <c r="J7" s="2745"/>
      <c r="K7" s="1839"/>
      <c r="L7" s="2723"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6767</v>
      </c>
      <c r="U7" s="1600"/>
      <c r="V7" s="1599">
        <f t="shared" ca="1" si="1"/>
        <v>0</v>
      </c>
      <c r="W7" s="1813" t="s">
        <v>2831</v>
      </c>
      <c r="X7" s="1601" t="str">
        <f>G2</f>
        <v>六级</v>
      </c>
      <c r="Y7" s="1601" t="s">
        <v>2832</v>
      </c>
      <c r="Z7" s="1602">
        <f>G3</f>
        <v>4.1500000000000004</v>
      </c>
      <c r="AA7" s="1603"/>
      <c r="AB7" s="1603"/>
      <c r="AC7" s="1604"/>
      <c r="AD7" s="1605"/>
      <c r="AE7" s="1605"/>
      <c r="AF7" s="1605"/>
      <c r="AG7" s="1605"/>
      <c r="AH7" s="1605"/>
      <c r="AI7" s="1605"/>
      <c r="AJ7" s="1606"/>
    </row>
    <row r="8" spans="1:36" ht="25.5" hidden="1">
      <c r="A8" s="3214"/>
      <c r="B8" s="197" t="s">
        <v>2833</v>
      </c>
      <c r="C8" s="2746" t="s">
        <v>3079</v>
      </c>
      <c r="D8" s="918" t="s">
        <v>139</v>
      </c>
      <c r="E8" s="919" t="e">
        <f>ROUND(C11/E7,4)</f>
        <v>#DIV/0!</v>
      </c>
      <c r="F8" s="2747" t="s">
        <v>2834</v>
      </c>
      <c r="G8" s="2748"/>
      <c r="H8" s="2748"/>
      <c r="I8" s="2748"/>
      <c r="J8" s="2749"/>
      <c r="K8" s="1367"/>
      <c r="L8" s="2723"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06" t="s">
        <v>2836</v>
      </c>
      <c r="X8" s="3207"/>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hidden="1">
      <c r="A9" s="3214"/>
      <c r="B9" s="197" t="s">
        <v>2849</v>
      </c>
      <c r="C9" s="920">
        <f>SUMIF(修正!C59:C119,C8,修正!E59:E119)</f>
        <v>0</v>
      </c>
      <c r="D9" s="199" t="s">
        <v>140</v>
      </c>
      <c r="E9" s="199" t="e">
        <f>ROUND(C11/E7,4)</f>
        <v>#DIV/0!</v>
      </c>
      <c r="F9" s="2747" t="s">
        <v>2850</v>
      </c>
      <c r="G9" s="2748"/>
      <c r="H9" s="2748"/>
      <c r="I9" s="2748"/>
      <c r="J9" s="2749"/>
      <c r="K9" s="1367"/>
      <c r="L9" s="2723"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08"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214"/>
      <c r="B10" s="197" t="s">
        <v>2854</v>
      </c>
      <c r="C10" s="199">
        <f>SUMIF(修正!C59:C119,C8,修正!F59:F119)</f>
        <v>0</v>
      </c>
      <c r="D10" s="199" t="s">
        <v>141</v>
      </c>
      <c r="E10" s="199" t="e">
        <f>ROUND(C11/E7,4)</f>
        <v>#DIV/0!</v>
      </c>
      <c r="F10" s="2747" t="s">
        <v>2855</v>
      </c>
      <c r="G10" s="2748"/>
      <c r="H10" s="2748"/>
      <c r="I10" s="2748"/>
      <c r="J10" s="2749"/>
      <c r="K10" s="1367"/>
      <c r="L10" s="2723"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0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214"/>
      <c r="B11" s="2750" t="s">
        <v>2857</v>
      </c>
      <c r="C11" s="921">
        <f>C10/4</f>
        <v>0</v>
      </c>
      <c r="D11" s="921" t="s">
        <v>142</v>
      </c>
      <c r="E11" s="921" t="e">
        <f>ROUND(C11/E7,4)</f>
        <v>#DIV/0!</v>
      </c>
      <c r="F11" s="2751" t="s">
        <v>2858</v>
      </c>
      <c r="G11" s="2752"/>
      <c r="H11" s="2752"/>
      <c r="I11" s="2752"/>
      <c r="J11" s="2753"/>
      <c r="K11" s="1367"/>
      <c r="L11" s="2723"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08" t="s">
        <v>2860</v>
      </c>
      <c r="X11" s="1611" t="s">
        <v>2861</v>
      </c>
      <c r="Y11" s="1612">
        <f>$G$3</f>
        <v>4.1500000000000004</v>
      </c>
      <c r="Z11" s="1612">
        <f t="shared" ref="Z11:AJ11" si="3">$G$3</f>
        <v>4.1500000000000004</v>
      </c>
      <c r="AA11" s="1612">
        <f t="shared" si="3"/>
        <v>4.1500000000000004</v>
      </c>
      <c r="AB11" s="1612">
        <f t="shared" si="3"/>
        <v>4.1500000000000004</v>
      </c>
      <c r="AC11" s="1612">
        <f t="shared" si="3"/>
        <v>4.1500000000000004</v>
      </c>
      <c r="AD11" s="1612">
        <f t="shared" si="3"/>
        <v>4.1500000000000004</v>
      </c>
      <c r="AE11" s="1612">
        <f t="shared" si="3"/>
        <v>4.1500000000000004</v>
      </c>
      <c r="AF11" s="1612">
        <f t="shared" si="3"/>
        <v>4.1500000000000004</v>
      </c>
      <c r="AG11" s="1612">
        <f t="shared" si="3"/>
        <v>4.1500000000000004</v>
      </c>
      <c r="AH11" s="1612">
        <f t="shared" si="3"/>
        <v>4.1500000000000004</v>
      </c>
      <c r="AI11" s="1612">
        <f t="shared" si="3"/>
        <v>4.1500000000000004</v>
      </c>
      <c r="AJ11" s="1612">
        <f t="shared" si="3"/>
        <v>4.1500000000000004</v>
      </c>
    </row>
    <row r="12" spans="1:36" ht="25.5" hidden="1" thickBot="1">
      <c r="A12" s="3213" t="s">
        <v>2862</v>
      </c>
      <c r="B12" s="2754" t="s">
        <v>2863</v>
      </c>
      <c r="C12" s="917">
        <f>ROUND(C15*D15*E15*F15*G15*H15*I15*J15,4)</f>
        <v>1</v>
      </c>
      <c r="D12" s="2755" t="s">
        <v>2864</v>
      </c>
      <c r="E12" s="2756"/>
      <c r="F12" s="2756"/>
      <c r="G12" s="2757"/>
      <c r="H12" s="2757"/>
      <c r="I12" s="2757"/>
      <c r="J12" s="2758"/>
      <c r="K12" s="1367"/>
      <c r="L12" s="2759"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08"/>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215"/>
      <c r="B13" s="2760" t="s">
        <v>2867</v>
      </c>
      <c r="C13" s="2761" t="s">
        <v>2868</v>
      </c>
      <c r="D13" s="1805" t="s">
        <v>2869</v>
      </c>
      <c r="E13" s="1805" t="s">
        <v>2870</v>
      </c>
      <c r="F13" s="30" t="s">
        <v>2871</v>
      </c>
      <c r="G13" s="2762" t="s">
        <v>2872</v>
      </c>
      <c r="H13" s="2762" t="s">
        <v>2872</v>
      </c>
      <c r="I13" s="2762" t="s">
        <v>2872</v>
      </c>
      <c r="J13" s="2763" t="s">
        <v>2872</v>
      </c>
      <c r="K13" s="1367"/>
      <c r="L13" s="1367"/>
      <c r="M13" s="1367"/>
      <c r="N13" s="1367"/>
      <c r="O13" s="1367"/>
      <c r="P13" s="1367"/>
      <c r="Q13" s="1367"/>
      <c r="R13" s="1599">
        <v>12</v>
      </c>
      <c r="S13" s="1600"/>
      <c r="T13" s="1599">
        <f t="shared" ca="1" si="0"/>
        <v>0</v>
      </c>
      <c r="U13" s="1600"/>
      <c r="V13" s="1599">
        <f t="shared" ca="1" si="1"/>
        <v>0</v>
      </c>
      <c r="W13" s="3208"/>
      <c r="X13" s="1613"/>
      <c r="Y13" s="1610">
        <f>(-0.163*(Y12^2)-0.59*Y12+7617)*(10^(-4))/Y11</f>
        <v>0.1835421686746988</v>
      </c>
      <c r="Z13" s="1610">
        <f t="shared" ref="Z13:AJ13" si="5">(-0.163*(Z12^2)-0.59*Z12+7617)*(10^(-4))/Z11</f>
        <v>0.1835421686746988</v>
      </c>
      <c r="AA13" s="1610">
        <f t="shared" si="5"/>
        <v>0.1835421686746988</v>
      </c>
      <c r="AB13" s="1610">
        <f t="shared" si="5"/>
        <v>0.1835421686746988</v>
      </c>
      <c r="AC13" s="1610">
        <f t="shared" si="5"/>
        <v>0.1835421686746988</v>
      </c>
      <c r="AD13" s="1610">
        <f t="shared" si="5"/>
        <v>0.1835421686746988</v>
      </c>
      <c r="AE13" s="1610">
        <f t="shared" si="5"/>
        <v>0.1835421686746988</v>
      </c>
      <c r="AF13" s="1610">
        <f t="shared" si="5"/>
        <v>0.1835421686746988</v>
      </c>
      <c r="AG13" s="1610">
        <f t="shared" si="5"/>
        <v>0.1835421686746988</v>
      </c>
      <c r="AH13" s="1610">
        <f t="shared" si="5"/>
        <v>0.1835421686746988</v>
      </c>
      <c r="AI13" s="1610">
        <f t="shared" si="5"/>
        <v>0.1835421686746988</v>
      </c>
      <c r="AJ13" s="1610">
        <f t="shared" si="5"/>
        <v>0.1835421686746988</v>
      </c>
    </row>
    <row r="14" spans="1:36" ht="15" hidden="1">
      <c r="A14" s="3215"/>
      <c r="B14" s="2764"/>
      <c r="C14" s="2765"/>
      <c r="D14" s="2766"/>
      <c r="E14" s="2766"/>
      <c r="F14" s="2767"/>
      <c r="G14" s="2768" t="s">
        <v>2873</v>
      </c>
      <c r="H14" s="2769"/>
      <c r="I14" s="2770"/>
      <c r="J14" s="2771"/>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216"/>
      <c r="B15" s="2772" t="s">
        <v>2874</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13" t="s">
        <v>2879</v>
      </c>
      <c r="B16" s="2741" t="s">
        <v>2880</v>
      </c>
      <c r="C16" s="2931">
        <f>ROUND(IF(F17="与级别开发程度一致",0,(G17-E17)/C17),0)</f>
        <v>-20</v>
      </c>
      <c r="D16" s="3227" t="s">
        <v>2884</v>
      </c>
      <c r="E16" s="3228"/>
      <c r="F16" s="3227" t="s">
        <v>2881</v>
      </c>
      <c r="G16" s="3228"/>
      <c r="H16" s="2775" t="s">
        <v>3064</v>
      </c>
      <c r="I16" s="2775" t="s">
        <v>3065</v>
      </c>
      <c r="J16" s="2935" t="s">
        <v>3066</v>
      </c>
      <c r="K16" s="2775" t="s">
        <v>3067</v>
      </c>
      <c r="L16" s="2775" t="s">
        <v>3068</v>
      </c>
      <c r="M16" s="2775" t="s">
        <v>3069</v>
      </c>
      <c r="N16" s="2775" t="s">
        <v>3072</v>
      </c>
      <c r="O16" s="2776"/>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17"/>
      <c r="B17" s="2942" t="s">
        <v>2883</v>
      </c>
      <c r="C17" s="2943">
        <f>SUMPRODUCT((修正!A2:A5=E2)*(修正!B1:M1=G2)*(修正!B2:M5))</f>
        <v>2.5</v>
      </c>
      <c r="D17" s="228" t="str">
        <f>IF(OR(G2="八级",G2="九级",G2="十级",G2="十一级",G2="十二级"),"五通一平","七通一平")</f>
        <v>七通一平</v>
      </c>
      <c r="E17" s="2932">
        <f>SUMPRODUCT((修正!B1:M1=G2)*(修正!B15:M15))</f>
        <v>300</v>
      </c>
      <c r="F17" s="2933" t="s">
        <v>3073</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67"/>
      <c r="R17" s="1367"/>
      <c r="S17" s="1367"/>
      <c r="T17" s="1367"/>
      <c r="U17" s="1367"/>
      <c r="V17" s="1367"/>
      <c r="W17" s="1367"/>
      <c r="X17" s="1367"/>
      <c r="Y17" s="1367"/>
      <c r="Z17" s="1368"/>
      <c r="AE17" s="2779"/>
      <c r="AF17" s="2779"/>
      <c r="AG17" s="2717"/>
      <c r="AH17" s="2717"/>
      <c r="AI17" s="2717"/>
      <c r="AJ17" s="2717"/>
    </row>
    <row r="18" spans="1:37" s="2734" customFormat="1" ht="15.75" thickBot="1">
      <c r="A18" s="2936" t="s">
        <v>808</v>
      </c>
      <c r="B18" s="2937" t="s">
        <v>2886</v>
      </c>
      <c r="C18" s="2938">
        <f>SUMIF(修正!C18:C39,E3,修正!E18:E39)</f>
        <v>0.9</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2887</v>
      </c>
      <c r="C19" s="922">
        <f>ROUND(IF(H19="按公示增长率计算",SUMPRODUCT((地价!A3:A26=YEAR(G19)&amp;"-"&amp;ROUNDUP(MONTH(G19)/3,0))*(地价!X2:AB2=E2)*(地价!X3:AB26)),IF(H19="地价指数",M20/M19,(1+I19)^O19)),4)</f>
        <v>1.3411</v>
      </c>
      <c r="D19" s="2785" t="s">
        <v>2888</v>
      </c>
      <c r="E19" s="923">
        <v>41640</v>
      </c>
      <c r="F19" s="2785" t="s">
        <v>2889</v>
      </c>
      <c r="G19" s="924">
        <f>'数据-取费表'!B2</f>
        <v>43615</v>
      </c>
      <c r="H19" s="2786" t="s">
        <v>3075</v>
      </c>
      <c r="I19" s="925" t="str">
        <f>IF(H19="季度增幅（自定义）",SUMIF(N21:N24,E2,O21:O24),"")</f>
        <v/>
      </c>
      <c r="J19" s="2783"/>
      <c r="K19" s="1374"/>
      <c r="L19" s="2787" t="s">
        <v>2890</v>
      </c>
      <c r="M19" s="1731">
        <f>ROUND(SUMIF(地价!B2:F2,E2,地价!B26:F26),0)</f>
        <v>258</v>
      </c>
      <c r="N19" s="2788" t="s">
        <v>2891</v>
      </c>
      <c r="O19" s="926">
        <f>ROUNDDOWN(DATEDIF(E19,G19,"M")/3,0)</f>
        <v>21</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2892</v>
      </c>
      <c r="C20" s="927">
        <f ca="1">ROUND(POWER(1+G20,J20-I20)*(POWER(1+G20,I20)-1)/(POWER(1+G20,J20)-1),4)</f>
        <v>0.82969999999999999</v>
      </c>
      <c r="D20" s="2794" t="s">
        <v>2893</v>
      </c>
      <c r="E20" s="1765">
        <f ca="1">存贷款利率!D4/100</f>
        <v>4.3499999999999997E-2</v>
      </c>
      <c r="F20" s="2794" t="s">
        <v>2885</v>
      </c>
      <c r="G20" s="3316">
        <f ca="1">SUMIF(M26:P26,E2,M28:P28)</f>
        <v>5.3999999999999999E-2</v>
      </c>
      <c r="H20" s="2794" t="s">
        <v>2894</v>
      </c>
      <c r="I20" s="932">
        <f>SUMIF('数据-取费表'!C6:C15,E2,'数据-取费表'!F6:F15)/COUNTIF('数据-取费表'!C6:C15,E2)</f>
        <v>24.79</v>
      </c>
      <c r="J20" s="933">
        <f>IF(E2="住宅",70,IF(E2="商业",40,50))</f>
        <v>40</v>
      </c>
      <c r="K20" s="1374"/>
      <c r="L20" s="2795" t="s">
        <v>2895</v>
      </c>
      <c r="M20" s="1732">
        <f>ROUND(SUMPRODUCT((地价!A4:A26=YEAR(G19)&amp;"-"&amp;ROUNDUP(MONTH(G19)/3,0))*(地价!B2:F2=E2)*(地价!B4:F26)),0)</f>
        <v>346</v>
      </c>
      <c r="N20" s="2796" t="s">
        <v>2896</v>
      </c>
      <c r="O20" s="2797" t="s">
        <v>2897</v>
      </c>
      <c r="P20" s="2798" t="s">
        <v>2898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3074</v>
      </c>
      <c r="C21" s="934">
        <f>IF(B21="容积率修正",IF(G3&lt;=10,D22,J22),C23)</f>
        <v>0.85860000000000003</v>
      </c>
      <c r="D21" s="2801"/>
      <c r="E21" s="2801"/>
      <c r="F21" s="2801"/>
      <c r="G21" s="2801"/>
      <c r="H21" s="2801"/>
      <c r="I21" s="2801"/>
      <c r="J21" s="2802"/>
      <c r="K21" s="1374"/>
      <c r="N21" s="2803" t="s">
        <v>2899</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4" customFormat="1" ht="14.25">
      <c r="A22" s="2661" t="s">
        <v>2900</v>
      </c>
      <c r="B22" s="2804" t="s">
        <v>2901</v>
      </c>
      <c r="C22" s="1807" t="s">
        <v>2902</v>
      </c>
      <c r="D22" s="1807">
        <f>IF(E22=G22,F22,IF(G3&lt;=10,ROUND(F22+(H22-F22)*(G3-E22)/(G22-E22),4),"——"))</f>
        <v>0.85860000000000003</v>
      </c>
      <c r="E22" s="914">
        <f>ROUNDDOWN(G3,1)</f>
        <v>4.0999999999999996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0.86109999999999998</v>
      </c>
      <c r="G22" s="914">
        <f>ROUNDUP(G3,1)</f>
        <v>4.1999999999999993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1807" t="s">
        <v>155</v>
      </c>
      <c r="J22" s="935" t="str">
        <f>IF(G3&gt;10,D113,"——")</f>
        <v>——</v>
      </c>
      <c r="K22" s="1374"/>
      <c r="N22" s="2803" t="s">
        <v>2903</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1" t="s">
        <v>2904</v>
      </c>
      <c r="B23" s="2805" t="s">
        <v>2905</v>
      </c>
      <c r="C23" s="1010">
        <f>ROUND(IF(G3&gt;1,IF(I3&lt;7,SUMPRODUCT((B93:B98=I3)*(C92:N92=G2)*(C93:N98)),SUMIF(C92:N92,G2,C100:N100)),IF(I3&lt;7,SUMPRODUCT((B102:B107=I3)*(C92:N92=G2)*(C102:N107)),SUMIF(C92:N92,G2,C109:N109))),4)</f>
        <v>0</v>
      </c>
      <c r="D23" s="2769"/>
      <c r="E23" s="2769"/>
      <c r="F23" s="2806"/>
      <c r="G23" s="2807"/>
      <c r="H23" s="2808"/>
      <c r="I23" s="2809"/>
      <c r="J23" s="2810"/>
      <c r="K23" s="1367"/>
      <c r="N23" s="2803" t="s">
        <v>2906</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2">
        <f>SUMIF(A45:A88,E2,B45:B88)</f>
        <v>1.0638000000000001</v>
      </c>
      <c r="D24" s="2782"/>
      <c r="E24" s="2811"/>
      <c r="F24" s="2811"/>
      <c r="G24" s="2811"/>
      <c r="H24" s="2811"/>
      <c r="I24" s="2811"/>
      <c r="J24" s="2812"/>
      <c r="K24" s="1374"/>
      <c r="N24" s="2813" t="s">
        <v>2908</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8"/>
      <c r="D25" s="2744"/>
      <c r="E25" s="2744"/>
      <c r="F25" s="2815"/>
      <c r="G25" s="2744"/>
      <c r="H25" s="2744"/>
      <c r="I25" s="2744"/>
      <c r="J25" s="2745"/>
      <c r="K25" s="1367"/>
      <c r="N25" s="2816" t="s">
        <v>2910</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7"/>
      <c r="B26" s="2804" t="s">
        <v>2911</v>
      </c>
      <c r="C26" s="205">
        <f ca="1">E29+SUM(E33:E39)</f>
        <v>35942</v>
      </c>
      <c r="D26" s="2818"/>
      <c r="E26" s="2769"/>
      <c r="F26" s="2819"/>
      <c r="G26" s="2769"/>
      <c r="H26" s="2769"/>
      <c r="I26" s="2769"/>
      <c r="J26" s="2820"/>
      <c r="K26" s="1367"/>
      <c r="L26" s="2773" t="s">
        <v>2811</v>
      </c>
      <c r="M26" s="918" t="s">
        <v>2875</v>
      </c>
      <c r="N26" s="918" t="s">
        <v>2876</v>
      </c>
      <c r="O26" s="918" t="s">
        <v>2877</v>
      </c>
      <c r="P26" s="2774" t="s">
        <v>2878</v>
      </c>
      <c r="R26" s="1373"/>
      <c r="S26" s="1373"/>
      <c r="T26" s="1368"/>
      <c r="U26" s="1368"/>
      <c r="V26" s="1368"/>
      <c r="W26" s="1367"/>
      <c r="X26" s="1367"/>
      <c r="Y26" s="1367"/>
      <c r="Z26" s="1374"/>
      <c r="AA26" s="1375"/>
      <c r="AB26" s="1375"/>
      <c r="AC26" s="1375"/>
      <c r="AD26" s="1375"/>
    </row>
    <row r="27" spans="1:37" ht="15.75" thickBot="1">
      <c r="A27" s="2817"/>
      <c r="B27" s="2821" t="s">
        <v>2912</v>
      </c>
      <c r="C27" s="929">
        <f ca="1">E30+SUM(I33:I39)</f>
        <v>648</v>
      </c>
      <c r="D27" s="2822"/>
      <c r="E27" s="2823"/>
      <c r="F27" s="2824"/>
      <c r="G27" s="2823"/>
      <c r="H27" s="2823"/>
      <c r="I27" s="2823"/>
      <c r="J27" s="2825"/>
      <c r="K27" s="1367"/>
      <c r="L27" s="2777" t="s">
        <v>2882</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2885</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5">
        <f ca="1">ROUND(C5*C18*C19*C20*C21*C24,0)</f>
        <v>8964</v>
      </c>
      <c r="D29" s="3311">
        <f>'数据-汇总表'!F19</f>
        <v>37202.92</v>
      </c>
      <c r="E29" s="939">
        <f ca="1">ROUND(C29*D29/10000,0)</f>
        <v>33349</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7"/>
      <c r="AH29" s="2717"/>
      <c r="AI29" s="2717"/>
      <c r="AJ29" s="2717"/>
    </row>
    <row r="30" spans="1:37" ht="25.5" thickBot="1">
      <c r="A30" s="2837"/>
      <c r="B30" s="2838" t="s">
        <v>2919</v>
      </c>
      <c r="C30" s="228">
        <f ca="1">ROUND(IF(E2="工业",C29*M39,C29*M38),0)</f>
        <v>2241</v>
      </c>
      <c r="D30" s="2839"/>
      <c r="E30" s="939">
        <f ca="1">ROUND(C30*D30/10000,0)</f>
        <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7"/>
      <c r="AH30" s="2717"/>
      <c r="AI30" s="2717"/>
      <c r="AJ30" s="2717"/>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7"/>
      <c r="AH31" s="2717"/>
      <c r="AI31" s="2717"/>
      <c r="AJ31" s="2717"/>
    </row>
    <row r="32" spans="1:37" ht="24">
      <c r="A32" s="2831"/>
      <c r="B32" s="2847"/>
      <c r="C32" s="500" t="s">
        <v>2914</v>
      </c>
      <c r="D32" s="497" t="s">
        <v>2915</v>
      </c>
      <c r="E32" s="497" t="s">
        <v>2916</v>
      </c>
      <c r="F32" s="387" t="s">
        <v>2924</v>
      </c>
      <c r="G32" s="2848" t="s">
        <v>2914</v>
      </c>
      <c r="H32" s="2848" t="s">
        <v>2915</v>
      </c>
      <c r="I32" s="2848" t="s">
        <v>2916</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7"/>
      <c r="AH32" s="2717"/>
      <c r="AI32" s="2717"/>
      <c r="AJ32" s="2717"/>
    </row>
    <row r="33" spans="1:37" ht="36" customHeight="1">
      <c r="A33" s="3224" t="s">
        <v>2925</v>
      </c>
      <c r="B33" s="2849" t="s">
        <v>2926</v>
      </c>
      <c r="C33" s="205">
        <f ca="1">ROUND(D5*C19*C20*C24*F33,0)</f>
        <v>8153</v>
      </c>
      <c r="D33" s="2833"/>
      <c r="E33" s="199">
        <f ca="1">ROUND(C33*D33/10000,0)</f>
        <v>0</v>
      </c>
      <c r="F33" s="199">
        <f>SUMIF(修正!A45:A56,G2,修正!B45:B56)</f>
        <v>0.7</v>
      </c>
      <c r="G33" s="199">
        <f t="shared" ref="G33" ca="1" si="6">ROUND(IF(E2="工业",C33*$M$39,C33*$M$38),0)</f>
        <v>2038</v>
      </c>
      <c r="H33" s="199">
        <f>D33</f>
        <v>0</v>
      </c>
      <c r="I33" s="199">
        <f ca="1">ROUND(G33*H33/10000,0)</f>
        <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25"/>
      <c r="B34" s="2761" t="s">
        <v>2927</v>
      </c>
      <c r="C34" s="205">
        <f ca="1">ROUND(D5*C19*C20*C24*F34,0)</f>
        <v>4659</v>
      </c>
      <c r="D34" s="2833"/>
      <c r="E34" s="199">
        <f t="shared" ref="E34:E39" ca="1" si="7">ROUND(C34*D34/10000,0)</f>
        <v>0</v>
      </c>
      <c r="F34" s="199">
        <f>SUMIF(修正!A45:A56,G2,修正!C45:C56)</f>
        <v>0.4</v>
      </c>
      <c r="G34" s="199">
        <f ca="1">ROUND(IF(E2="工业",C34*$M$39,C34*$M$38),0)</f>
        <v>1165</v>
      </c>
      <c r="H34" s="199">
        <f t="shared" ref="H34:H39" si="8">D34</f>
        <v>0</v>
      </c>
      <c r="I34" s="199">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25"/>
      <c r="B35" s="2761" t="s">
        <v>2928</v>
      </c>
      <c r="C35" s="205">
        <f ca="1">ROUND(D5*C19*C20*C24*F35,0)</f>
        <v>3261</v>
      </c>
      <c r="D35" s="2833"/>
      <c r="E35" s="199">
        <f t="shared" ca="1" si="7"/>
        <v>0</v>
      </c>
      <c r="F35" s="199">
        <f>SUMIF(修正!A45:A56,G2,修正!D45:D56)</f>
        <v>0.28000000000000003</v>
      </c>
      <c r="G35" s="199">
        <f ca="1">ROUND(IF(E2="工业",C35*$M$39,C35*$M$38),0)</f>
        <v>815</v>
      </c>
      <c r="H35" s="199">
        <f t="shared" si="8"/>
        <v>0</v>
      </c>
      <c r="I35" s="199">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226"/>
      <c r="B36" s="2761" t="s">
        <v>2929</v>
      </c>
      <c r="C36" s="205">
        <f ca="1">ROUND(D5*C19*C20*C24*F36,0)</f>
        <v>2912</v>
      </c>
      <c r="D36" s="2833"/>
      <c r="E36" s="199">
        <f t="shared" ca="1" si="7"/>
        <v>0</v>
      </c>
      <c r="F36" s="199">
        <f>SUMIF(修正!A45:A56,G2,修正!E45:E56)</f>
        <v>0.25</v>
      </c>
      <c r="G36" s="199">
        <f ca="1">ROUND(IF(E2="工业",C36*$M$39,C36*$M$38),0)</f>
        <v>728</v>
      </c>
      <c r="H36" s="199">
        <f t="shared" si="8"/>
        <v>0</v>
      </c>
      <c r="I36" s="199">
        <f t="shared" ca="1" si="9"/>
        <v>0</v>
      </c>
      <c r="J36" s="2850"/>
      <c r="K36" s="1367"/>
      <c r="L36" s="2716"/>
      <c r="M36" s="2716"/>
      <c r="N36" s="1367"/>
      <c r="O36" s="1367"/>
      <c r="P36" s="1367"/>
      <c r="Q36" s="1367"/>
      <c r="R36" s="1367"/>
      <c r="S36" s="1367"/>
      <c r="T36" s="1367"/>
      <c r="U36" s="1367"/>
      <c r="V36" s="1367"/>
      <c r="W36" s="1367"/>
      <c r="X36" s="1367"/>
      <c r="Y36" s="1367"/>
      <c r="Z36" s="1368"/>
    </row>
    <row r="37" spans="1:37">
      <c r="A37" s="2851"/>
      <c r="B37" s="2761" t="s">
        <v>2930</v>
      </c>
      <c r="C37" s="199">
        <f ca="1">ROUND(D5*C19*C20*C24*F37,0)</f>
        <v>2912</v>
      </c>
      <c r="D37" s="2833"/>
      <c r="E37" s="199">
        <f t="shared" ca="1" si="7"/>
        <v>0</v>
      </c>
      <c r="F37" s="205">
        <f>SUMIF(修正!A45:A56,G2,修正!F45:F56)</f>
        <v>0.25</v>
      </c>
      <c r="G37" s="199">
        <f ca="1">ROUND(IF(E2="工业",C37*$M$39,C37*$M$38),0)</f>
        <v>728</v>
      </c>
      <c r="H37" s="199">
        <f t="shared" si="8"/>
        <v>0</v>
      </c>
      <c r="I37" s="199">
        <f t="shared" ca="1" si="9"/>
        <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199">
        <f ca="1">ROUND(D5*C19*C41*C24*F38,0)</f>
        <v>2755</v>
      </c>
      <c r="D38" s="2833"/>
      <c r="E38" s="199">
        <f t="shared" ca="1" si="7"/>
        <v>0</v>
      </c>
      <c r="F38" s="205">
        <f>SUMIF(修正!A45:A56,G2,修正!G45:G56)</f>
        <v>0.25</v>
      </c>
      <c r="G38" s="199">
        <f ca="1">ROUND(IF(E2="工业",C38*$M$39,C38*$M$38),0)</f>
        <v>689</v>
      </c>
      <c r="H38" s="199">
        <f t="shared" si="8"/>
        <v>0</v>
      </c>
      <c r="I38" s="199">
        <f t="shared" ca="1" si="9"/>
        <v>0</v>
      </c>
      <c r="J38" s="2850"/>
      <c r="K38" s="1367"/>
      <c r="L38" s="1884"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8">
        <f ca="1">ROUND(D5*C19*C41*C24*F39,0)</f>
        <v>2204</v>
      </c>
      <c r="D39" s="3312">
        <f>'数据-汇总表'!G19</f>
        <v>11765</v>
      </c>
      <c r="E39" s="228">
        <f t="shared" ca="1" si="7"/>
        <v>2593</v>
      </c>
      <c r="F39" s="930">
        <f>SUMIF(修正!A45:A56,G2,修正!H45:H56)</f>
        <v>0.2</v>
      </c>
      <c r="G39" s="228">
        <f ca="1">ROUND(IF(E2="工业",C39*$M$39,C39*$M$38),0)</f>
        <v>551</v>
      </c>
      <c r="H39" s="228">
        <f t="shared" si="8"/>
        <v>11765</v>
      </c>
      <c r="I39" s="228">
        <f t="shared" ca="1" si="9"/>
        <v>648</v>
      </c>
      <c r="J39" s="2856"/>
      <c r="K39" s="1367"/>
      <c r="L39" s="2857" t="s">
        <v>2878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3045</v>
      </c>
      <c r="C41" s="387">
        <f ca="1">ROUND(POWER(1+E41,H41-G41)*(POWER(1+E41,G41)-1)/(POWER(1+E41,H41)-1),4)</f>
        <v>0.78510000000000002</v>
      </c>
      <c r="D41" s="199" t="s">
        <v>2885</v>
      </c>
      <c r="E41" s="2925">
        <f ca="1">G20</f>
        <v>5.3999999999999999E-2</v>
      </c>
      <c r="F41" s="199" t="s">
        <v>2894</v>
      </c>
      <c r="G41" s="217">
        <f>项目基本情况!E15</f>
        <v>24.79</v>
      </c>
      <c r="H41" s="199">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2936</v>
      </c>
      <c r="B46" s="2863">
        <f>1+E48</f>
        <v>1.0638000000000001</v>
      </c>
      <c r="C46" s="2864"/>
      <c r="D46" s="812"/>
      <c r="E46" s="813"/>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2937</v>
      </c>
      <c r="B47" s="1806" t="s">
        <v>2938</v>
      </c>
      <c r="C47" s="1806" t="s">
        <v>2939</v>
      </c>
      <c r="D47" s="1806" t="s">
        <v>2940</v>
      </c>
      <c r="E47" s="817" t="s">
        <v>2941</v>
      </c>
      <c r="F47" s="2867" t="s">
        <v>2942</v>
      </c>
      <c r="G47" s="1806" t="s">
        <v>754</v>
      </c>
      <c r="H47" s="2868" t="s">
        <v>2943</v>
      </c>
      <c r="I47" s="1806" t="s">
        <v>2944</v>
      </c>
      <c r="J47" s="602" t="s">
        <v>2595</v>
      </c>
      <c r="K47" s="602" t="s">
        <v>2596</v>
      </c>
      <c r="L47" s="602" t="s">
        <v>2597</v>
      </c>
      <c r="M47" s="602" t="s">
        <v>2598</v>
      </c>
      <c r="N47" s="602" t="s">
        <v>2599</v>
      </c>
      <c r="AA47" s="1368"/>
      <c r="AB47" s="1368"/>
      <c r="AC47" s="1368"/>
      <c r="AD47" s="1368"/>
      <c r="AE47" s="1368"/>
      <c r="AF47" s="1368"/>
      <c r="AG47" s="1368"/>
      <c r="AH47" s="1368"/>
      <c r="AI47" s="1368"/>
      <c r="AJ47" s="1368"/>
      <c r="AK47" s="1368"/>
    </row>
    <row r="48" spans="1:37" s="1367" customFormat="1" ht="38.25">
      <c r="A48" s="2866" t="s">
        <v>2945</v>
      </c>
      <c r="B48" s="2869" t="str">
        <f>估价对象房地状况!C4</f>
        <v>估价对象位于XX商圈，周边商业氛围成熟，人流量大，商业繁华度好</v>
      </c>
      <c r="C48" s="2766" t="s">
        <v>3076</v>
      </c>
      <c r="D48" s="1283">
        <f t="shared" ref="D48:D56" si="10">SUMIF($J$47:$N$47,C48,J48:N48)</f>
        <v>2.07E-2</v>
      </c>
      <c r="E48" s="819">
        <f>ROUND(SUM(D48:D56),4)</f>
        <v>6.3799999999999996E-2</v>
      </c>
      <c r="F48" s="2498">
        <f>IF(E2="商业",SUMIF(L1:L12,G2,N1:N12),"——")</f>
        <v>0.126</v>
      </c>
      <c r="G48" s="1281">
        <f>H48</f>
        <v>2.07E-2</v>
      </c>
      <c r="H48" s="1285">
        <f t="shared" ref="H48:H56" si="11">IFERROR(ROUNDDOWN($F$48*I48/2,4),"——")</f>
        <v>2.07E-2</v>
      </c>
      <c r="I48" s="818">
        <v>0.33</v>
      </c>
      <c r="J48" s="1282">
        <f t="shared" ref="J48:J56" si="12">K48+$G48</f>
        <v>4.1399999999999999E-2</v>
      </c>
      <c r="K48" s="1282">
        <f t="shared" ref="K48:K56" si="13">$L48+$G48</f>
        <v>2.07E-2</v>
      </c>
      <c r="L48" s="1282">
        <v>0</v>
      </c>
      <c r="M48" s="1282">
        <f t="shared" ref="M48:N56" si="14">L48-$G48</f>
        <v>-2.07E-2</v>
      </c>
      <c r="N48" s="1282">
        <f t="shared" si="14"/>
        <v>-4.1399999999999999E-2</v>
      </c>
      <c r="AA48" s="1368"/>
      <c r="AB48" s="1368"/>
      <c r="AC48" s="1368"/>
      <c r="AD48" s="1368"/>
      <c r="AE48" s="1368"/>
      <c r="AF48" s="1368"/>
      <c r="AG48" s="1368"/>
      <c r="AH48" s="1368"/>
      <c r="AI48" s="1368"/>
      <c r="AJ48" s="1368"/>
      <c r="AK48" s="1368"/>
    </row>
    <row r="49" spans="1:37" s="1367" customFormat="1" ht="51">
      <c r="A49" s="2866" t="s">
        <v>2946</v>
      </c>
      <c r="B49" s="2870" t="str">
        <f>估价对象房地状况!C18</f>
        <v>估价对象周边道路状况、公共交通通达情况、停车便捷程度，综合评价交通便捷度较好</v>
      </c>
      <c r="C49" s="2766" t="s">
        <v>3076</v>
      </c>
      <c r="D49" s="1283">
        <f t="shared" si="10"/>
        <v>1.5699999999999999E-2</v>
      </c>
      <c r="E49" s="820"/>
      <c r="F49" s="2498"/>
      <c r="G49" s="1281">
        <f t="shared" ref="G49:G56" si="15">H49</f>
        <v>1.5699999999999999E-2</v>
      </c>
      <c r="H49" s="1285">
        <f t="shared" si="11"/>
        <v>1.5699999999999999E-2</v>
      </c>
      <c r="I49" s="818">
        <v>0.25</v>
      </c>
      <c r="J49" s="1282">
        <f t="shared" si="12"/>
        <v>3.1399999999999997E-2</v>
      </c>
      <c r="K49" s="1282">
        <f t="shared" si="13"/>
        <v>1.5699999999999999E-2</v>
      </c>
      <c r="L49" s="1282">
        <v>0</v>
      </c>
      <c r="M49" s="1282">
        <f t="shared" si="14"/>
        <v>-1.5699999999999999E-2</v>
      </c>
      <c r="N49" s="1282">
        <f t="shared" si="14"/>
        <v>-3.1399999999999997E-2</v>
      </c>
      <c r="AA49" s="1368"/>
      <c r="AB49" s="1368"/>
      <c r="AC49" s="1368"/>
      <c r="AD49" s="1368"/>
      <c r="AE49" s="1368"/>
      <c r="AF49" s="1368"/>
      <c r="AG49" s="1368"/>
      <c r="AH49" s="1368"/>
      <c r="AI49" s="1368"/>
      <c r="AJ49" s="1368"/>
      <c r="AK49" s="1368"/>
    </row>
    <row r="50" spans="1:37" s="1367" customFormat="1" ht="24">
      <c r="A50" s="2866" t="s">
        <v>2947</v>
      </c>
      <c r="B50" s="2870">
        <f>估价对象房地状况!C19</f>
        <v>0</v>
      </c>
      <c r="C50" s="2766" t="s">
        <v>3076</v>
      </c>
      <c r="D50" s="1283">
        <f t="shared" si="10"/>
        <v>3.0999999999999999E-3</v>
      </c>
      <c r="E50" s="820"/>
      <c r="F50" s="2498"/>
      <c r="G50" s="1281">
        <f t="shared" si="15"/>
        <v>3.0999999999999999E-3</v>
      </c>
      <c r="H50" s="1285">
        <f t="shared" si="11"/>
        <v>3.0999999999999999E-3</v>
      </c>
      <c r="I50" s="818">
        <v>0.05</v>
      </c>
      <c r="J50" s="1282">
        <f t="shared" si="12"/>
        <v>6.1999999999999998E-3</v>
      </c>
      <c r="K50" s="1282">
        <f t="shared" si="13"/>
        <v>3.0999999999999999E-3</v>
      </c>
      <c r="L50" s="1282">
        <v>0</v>
      </c>
      <c r="M50" s="1282">
        <f t="shared" si="14"/>
        <v>-3.0999999999999999E-3</v>
      </c>
      <c r="N50" s="1282">
        <f t="shared" si="14"/>
        <v>-6.1999999999999998E-3</v>
      </c>
      <c r="AA50" s="1368"/>
      <c r="AB50" s="1368"/>
      <c r="AC50" s="1368"/>
      <c r="AD50" s="1368"/>
      <c r="AE50" s="1368"/>
      <c r="AF50" s="1368"/>
      <c r="AG50" s="1368"/>
      <c r="AH50" s="1368"/>
      <c r="AI50" s="1368"/>
      <c r="AJ50" s="1368"/>
      <c r="AK50" s="1368"/>
    </row>
    <row r="51" spans="1:37" s="1367" customFormat="1" ht="36.75">
      <c r="A51" s="2866" t="s">
        <v>2948</v>
      </c>
      <c r="B51" s="2871" t="s">
        <v>2949</v>
      </c>
      <c r="C51" s="2766" t="s">
        <v>3076</v>
      </c>
      <c r="D51" s="1283">
        <f t="shared" si="10"/>
        <v>3.0999999999999999E-3</v>
      </c>
      <c r="E51" s="820"/>
      <c r="F51" s="2498"/>
      <c r="G51" s="1281">
        <f t="shared" si="15"/>
        <v>3.0999999999999999E-3</v>
      </c>
      <c r="H51" s="1285">
        <f t="shared" si="11"/>
        <v>3.0999999999999999E-3</v>
      </c>
      <c r="I51" s="818">
        <v>0.05</v>
      </c>
      <c r="J51" s="1282">
        <f t="shared" si="12"/>
        <v>6.1999999999999998E-3</v>
      </c>
      <c r="K51" s="1282">
        <f t="shared" si="13"/>
        <v>3.0999999999999999E-3</v>
      </c>
      <c r="L51" s="1282">
        <v>0</v>
      </c>
      <c r="M51" s="1282">
        <f t="shared" si="14"/>
        <v>-3.0999999999999999E-3</v>
      </c>
      <c r="N51" s="1282">
        <f t="shared" si="14"/>
        <v>-6.1999999999999998E-3</v>
      </c>
      <c r="AA51" s="1368"/>
      <c r="AB51" s="1368"/>
      <c r="AC51" s="1368"/>
      <c r="AD51" s="1368"/>
      <c r="AE51" s="1368"/>
      <c r="AF51" s="1368"/>
      <c r="AG51" s="1368"/>
      <c r="AH51" s="1368"/>
      <c r="AI51" s="1368"/>
      <c r="AJ51" s="1368"/>
      <c r="AK51" s="1368"/>
    </row>
    <row r="52" spans="1:37" s="1367" customFormat="1" ht="24">
      <c r="A52" s="2866" t="s">
        <v>2950</v>
      </c>
      <c r="B52" s="2870">
        <f>估价对象房地状况!C24</f>
        <v>0</v>
      </c>
      <c r="C52" s="2766" t="s">
        <v>3077</v>
      </c>
      <c r="D52" s="1283">
        <f t="shared" si="10"/>
        <v>0</v>
      </c>
      <c r="E52" s="820"/>
      <c r="F52" s="2498"/>
      <c r="G52" s="1281">
        <f t="shared" si="15"/>
        <v>5.0000000000000001E-3</v>
      </c>
      <c r="H52" s="1285">
        <f t="shared" si="11"/>
        <v>5.0000000000000001E-3</v>
      </c>
      <c r="I52" s="818">
        <v>0.08</v>
      </c>
      <c r="J52" s="1282">
        <f t="shared" si="12"/>
        <v>0.01</v>
      </c>
      <c r="K52" s="1282">
        <f t="shared" si="13"/>
        <v>5.0000000000000001E-3</v>
      </c>
      <c r="L52" s="1282">
        <v>0</v>
      </c>
      <c r="M52" s="1282">
        <f t="shared" si="14"/>
        <v>-5.0000000000000001E-3</v>
      </c>
      <c r="N52" s="1282">
        <f t="shared" si="14"/>
        <v>-0.01</v>
      </c>
      <c r="AA52" s="1368"/>
      <c r="AB52" s="1368"/>
      <c r="AC52" s="1368"/>
      <c r="AD52" s="1368"/>
      <c r="AE52" s="1368"/>
      <c r="AF52" s="1368"/>
      <c r="AG52" s="1368"/>
      <c r="AH52" s="1368"/>
      <c r="AI52" s="1368"/>
      <c r="AJ52" s="1368"/>
      <c r="AK52" s="1368"/>
    </row>
    <row r="53" spans="1:37" s="1367" customFormat="1" ht="24">
      <c r="A53" s="2866" t="s">
        <v>2951</v>
      </c>
      <c r="B53" s="2872" t="s">
        <v>2952</v>
      </c>
      <c r="C53" s="2766" t="s">
        <v>3076</v>
      </c>
      <c r="D53" s="1283">
        <f t="shared" si="10"/>
        <v>1.8E-3</v>
      </c>
      <c r="E53" s="820"/>
      <c r="F53" s="2498"/>
      <c r="G53" s="1281">
        <f t="shared" si="15"/>
        <v>1.8E-3</v>
      </c>
      <c r="H53" s="1285">
        <f t="shared" si="11"/>
        <v>1.8E-3</v>
      </c>
      <c r="I53" s="818">
        <v>0.03</v>
      </c>
      <c r="J53" s="1282">
        <f t="shared" si="12"/>
        <v>3.5999999999999999E-3</v>
      </c>
      <c r="K53" s="1282">
        <f t="shared" si="13"/>
        <v>1.8E-3</v>
      </c>
      <c r="L53" s="1282">
        <v>0</v>
      </c>
      <c r="M53" s="1282">
        <f t="shared" si="14"/>
        <v>-1.8E-3</v>
      </c>
      <c r="N53" s="1282">
        <f t="shared" si="14"/>
        <v>-3.5999999999999999E-3</v>
      </c>
      <c r="AA53" s="1368"/>
      <c r="AB53" s="1368"/>
      <c r="AC53" s="1368"/>
      <c r="AD53" s="1368"/>
      <c r="AE53" s="1368"/>
      <c r="AF53" s="1368"/>
      <c r="AG53" s="1368"/>
      <c r="AH53" s="1368"/>
      <c r="AI53" s="1368"/>
      <c r="AJ53" s="1368"/>
      <c r="AK53" s="1368"/>
    </row>
    <row r="54" spans="1:37" s="1367" customFormat="1" ht="25.5">
      <c r="A54" s="2873" t="s">
        <v>2953</v>
      </c>
      <c r="B54" s="1722" t="str">
        <f>估价对象房地状况!C21</f>
        <v>估价对象所在区域公共配套设施齐备情况</v>
      </c>
      <c r="C54" s="2766" t="s">
        <v>3076</v>
      </c>
      <c r="D54" s="1283">
        <f t="shared" si="10"/>
        <v>3.0999999999999999E-3</v>
      </c>
      <c r="E54" s="820"/>
      <c r="F54" s="2498"/>
      <c r="G54" s="1281">
        <f t="shared" si="15"/>
        <v>3.0999999999999999E-3</v>
      </c>
      <c r="H54" s="1285">
        <f t="shared" si="11"/>
        <v>3.0999999999999999E-3</v>
      </c>
      <c r="I54" s="818">
        <v>0.05</v>
      </c>
      <c r="J54" s="1282">
        <f t="shared" si="12"/>
        <v>6.1999999999999998E-3</v>
      </c>
      <c r="K54" s="1282">
        <f t="shared" si="13"/>
        <v>3.0999999999999999E-3</v>
      </c>
      <c r="L54" s="1282">
        <v>0</v>
      </c>
      <c r="M54" s="1282">
        <f t="shared" si="14"/>
        <v>-3.0999999999999999E-3</v>
      </c>
      <c r="N54" s="1282">
        <f t="shared" si="14"/>
        <v>-6.1999999999999998E-3</v>
      </c>
      <c r="AA54" s="1368"/>
      <c r="AB54" s="1368"/>
      <c r="AC54" s="1368"/>
      <c r="AD54" s="1368"/>
      <c r="AE54" s="1368"/>
      <c r="AF54" s="1368"/>
      <c r="AG54" s="1368"/>
      <c r="AH54" s="1368"/>
      <c r="AI54" s="1368"/>
      <c r="AJ54" s="1368"/>
      <c r="AK54" s="1368"/>
    </row>
    <row r="55" spans="1:37" s="1367" customFormat="1" ht="25.5">
      <c r="A55" s="2873" t="s">
        <v>2954</v>
      </c>
      <c r="B55" s="2870" t="str">
        <f>估价对象房地状况!C22</f>
        <v>估价对象所在区域基础设施水平</v>
      </c>
      <c r="C55" s="2766" t="s">
        <v>3078</v>
      </c>
      <c r="D55" s="1283">
        <f t="shared" si="10"/>
        <v>1.26E-2</v>
      </c>
      <c r="E55" s="820"/>
      <c r="F55" s="2498"/>
      <c r="G55" s="1281">
        <f t="shared" si="15"/>
        <v>6.3E-3</v>
      </c>
      <c r="H55" s="1285">
        <f t="shared" si="11"/>
        <v>6.3E-3</v>
      </c>
      <c r="I55" s="818">
        <v>0.1</v>
      </c>
      <c r="J55" s="1282">
        <f t="shared" si="12"/>
        <v>1.26E-2</v>
      </c>
      <c r="K55" s="1282">
        <f t="shared" si="13"/>
        <v>6.3E-3</v>
      </c>
      <c r="L55" s="1282">
        <v>0</v>
      </c>
      <c r="M55" s="1282">
        <f t="shared" si="14"/>
        <v>-6.3E-3</v>
      </c>
      <c r="N55" s="1282">
        <f t="shared" si="14"/>
        <v>-1.26E-2</v>
      </c>
      <c r="AA55" s="1368"/>
      <c r="AB55" s="1368"/>
      <c r="AC55" s="1368"/>
      <c r="AD55" s="1368"/>
      <c r="AE55" s="1368"/>
      <c r="AF55" s="1368"/>
      <c r="AG55" s="1368"/>
      <c r="AH55" s="1368"/>
      <c r="AI55" s="1368"/>
      <c r="AJ55" s="1368"/>
      <c r="AK55" s="1368"/>
    </row>
    <row r="56" spans="1:37" s="1367" customFormat="1" ht="39" thickBot="1">
      <c r="A56" s="2874" t="s">
        <v>2955</v>
      </c>
      <c r="B56" s="2875" t="str">
        <f>估价对象房地状况!C20</f>
        <v>区域自然环境：；人文环境；综合评价环境状况一般</v>
      </c>
      <c r="C56" s="2766" t="s">
        <v>3076</v>
      </c>
      <c r="D56" s="1283">
        <f t="shared" si="10"/>
        <v>3.7000000000000002E-3</v>
      </c>
      <c r="E56" s="823"/>
      <c r="F56" s="2498"/>
      <c r="G56" s="1281">
        <f t="shared" si="15"/>
        <v>3.7000000000000002E-3</v>
      </c>
      <c r="H56" s="1285">
        <f t="shared" si="11"/>
        <v>3.7000000000000002E-3</v>
      </c>
      <c r="I56" s="822">
        <v>0.06</v>
      </c>
      <c r="J56" s="1282">
        <f t="shared" si="12"/>
        <v>7.4000000000000003E-3</v>
      </c>
      <c r="K56" s="1282">
        <f t="shared" si="13"/>
        <v>3.7000000000000002E-3</v>
      </c>
      <c r="L56" s="1282">
        <v>0</v>
      </c>
      <c r="M56" s="1282">
        <f t="shared" si="14"/>
        <v>-3.7000000000000002E-3</v>
      </c>
      <c r="N56" s="1282">
        <f t="shared" si="14"/>
        <v>-7.4000000000000003E-3</v>
      </c>
      <c r="AA56" s="1368"/>
      <c r="AB56" s="1368"/>
      <c r="AC56" s="1368"/>
      <c r="AD56" s="1368"/>
      <c r="AE56" s="1368"/>
      <c r="AF56" s="1368"/>
      <c r="AG56" s="1368"/>
      <c r="AH56" s="1368"/>
      <c r="AI56" s="1368"/>
      <c r="AJ56" s="1368"/>
      <c r="AK56" s="1368"/>
    </row>
    <row r="57" spans="1:37" s="1367" customFormat="1" ht="15">
      <c r="A57" s="2862" t="s">
        <v>2956</v>
      </c>
      <c r="B57" s="2863">
        <f>1+E59</f>
        <v>1</v>
      </c>
      <c r="C57" s="812"/>
      <c r="D57" s="812"/>
      <c r="E57" s="813"/>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2937</v>
      </c>
      <c r="B58" s="1806"/>
      <c r="C58" s="1806" t="s">
        <v>2939</v>
      </c>
      <c r="D58" s="1806" t="s">
        <v>2940</v>
      </c>
      <c r="E58" s="817" t="s">
        <v>2941</v>
      </c>
      <c r="F58" s="2867" t="s">
        <v>2957</v>
      </c>
      <c r="G58" s="1806" t="s">
        <v>754</v>
      </c>
      <c r="H58" s="2868" t="s">
        <v>2943</v>
      </c>
      <c r="I58" s="1806" t="s">
        <v>2944</v>
      </c>
      <c r="J58" s="602" t="s">
        <v>2595</v>
      </c>
      <c r="K58" s="602" t="s">
        <v>2596</v>
      </c>
      <c r="L58" s="602" t="s">
        <v>2597</v>
      </c>
      <c r="M58" s="602" t="s">
        <v>2598</v>
      </c>
      <c r="N58" s="602" t="s">
        <v>2599</v>
      </c>
      <c r="AA58" s="1368"/>
      <c r="AB58" s="1368"/>
      <c r="AC58" s="1368"/>
      <c r="AD58" s="1368"/>
      <c r="AE58" s="1368"/>
      <c r="AF58" s="1368"/>
      <c r="AG58" s="1368"/>
      <c r="AH58" s="1368"/>
      <c r="AI58" s="1368"/>
      <c r="AJ58" s="1368"/>
      <c r="AK58" s="1368"/>
    </row>
    <row r="59" spans="1:37" s="1367" customFormat="1" ht="38.25">
      <c r="A59" s="2866" t="s">
        <v>2958</v>
      </c>
      <c r="B59" s="2869" t="str">
        <f>估价对象房地状况!C17</f>
        <v>估价对象位于XX商圈，周边办公楼项目较多，入驻率高，办公集聚程度较好</v>
      </c>
      <c r="C59" s="2766"/>
      <c r="D59" s="1283">
        <f t="shared" ref="D59:D67" si="16">SUMIF($J$58:$N$58,C59,J59:N59)</f>
        <v>0</v>
      </c>
      <c r="E59" s="819">
        <f>ROUND(SUM(D59:D67),4)</f>
        <v>0</v>
      </c>
      <c r="F59" s="2498" t="str">
        <f>IF(E2="办公",SUMIF(L1:L12,G2,N1:N12),"——")</f>
        <v>——</v>
      </c>
      <c r="G59" s="1281"/>
      <c r="H59" s="1285" t="str">
        <f t="shared" ref="H59:H67" si="17">IFERROR(ROUNDDOWN($F$59*I59/2,4),"——")</f>
        <v>——</v>
      </c>
      <c r="I59" s="818">
        <v>0.24</v>
      </c>
      <c r="J59" s="1282">
        <f t="shared" ref="J59:J67" si="18">K59+$G59</f>
        <v>0</v>
      </c>
      <c r="K59" s="1282">
        <f t="shared" ref="K59:K67" si="19">$L59+$G59</f>
        <v>0</v>
      </c>
      <c r="L59" s="1282">
        <v>0</v>
      </c>
      <c r="M59" s="1282">
        <f t="shared" ref="M59:N67" si="20">L59-$G59</f>
        <v>0</v>
      </c>
      <c r="N59" s="1282">
        <f t="shared" si="20"/>
        <v>0</v>
      </c>
      <c r="AA59" s="1368"/>
      <c r="AB59" s="1368"/>
      <c r="AC59" s="1368"/>
      <c r="AD59" s="1368"/>
      <c r="AE59" s="1368"/>
      <c r="AF59" s="1368"/>
      <c r="AG59" s="1368"/>
      <c r="AH59" s="1368"/>
      <c r="AI59" s="1368"/>
      <c r="AJ59" s="1368"/>
      <c r="AK59" s="1368"/>
    </row>
    <row r="60" spans="1:37" s="1367" customFormat="1" ht="51">
      <c r="A60" s="2866" t="s">
        <v>2946</v>
      </c>
      <c r="B60" s="2870" t="str">
        <f>估价对象房地状况!C18</f>
        <v>估价对象周边道路状况、公共交通通达情况、停车便捷程度，综合评价交通便捷度较好</v>
      </c>
      <c r="C60" s="2766"/>
      <c r="D60" s="1283">
        <f t="shared" si="16"/>
        <v>0</v>
      </c>
      <c r="E60" s="820"/>
      <c r="F60" s="2498"/>
      <c r="G60" s="1281"/>
      <c r="H60" s="1285" t="str">
        <f t="shared" si="17"/>
        <v>——</v>
      </c>
      <c r="I60" s="818">
        <v>0.3</v>
      </c>
      <c r="J60" s="1282">
        <f t="shared" si="18"/>
        <v>0</v>
      </c>
      <c r="K60" s="1282">
        <f t="shared" si="19"/>
        <v>0</v>
      </c>
      <c r="L60" s="1282">
        <v>0</v>
      </c>
      <c r="M60" s="1282">
        <f t="shared" si="20"/>
        <v>0</v>
      </c>
      <c r="N60" s="1282">
        <f t="shared" si="20"/>
        <v>0</v>
      </c>
      <c r="AA60" s="1368"/>
      <c r="AB60" s="1368"/>
      <c r="AC60" s="1368"/>
      <c r="AD60" s="1368"/>
      <c r="AE60" s="1368"/>
      <c r="AF60" s="1368"/>
      <c r="AG60" s="1368"/>
      <c r="AH60" s="1368"/>
      <c r="AI60" s="1368"/>
      <c r="AJ60" s="1368"/>
      <c r="AK60" s="1368"/>
    </row>
    <row r="61" spans="1:37" s="1367" customFormat="1" ht="24">
      <c r="A61" s="2866" t="s">
        <v>2947</v>
      </c>
      <c r="B61" s="2870">
        <f>估价对象房地状况!C19</f>
        <v>0</v>
      </c>
      <c r="C61" s="2766"/>
      <c r="D61" s="1283">
        <f t="shared" si="16"/>
        <v>0</v>
      </c>
      <c r="E61" s="820"/>
      <c r="F61" s="2498"/>
      <c r="G61" s="1281"/>
      <c r="H61" s="1285" t="str">
        <f t="shared" si="17"/>
        <v>——</v>
      </c>
      <c r="I61" s="818">
        <v>0.08</v>
      </c>
      <c r="J61" s="1282">
        <f t="shared" si="18"/>
        <v>0</v>
      </c>
      <c r="K61" s="1282">
        <f t="shared" si="19"/>
        <v>0</v>
      </c>
      <c r="L61" s="1282">
        <v>0</v>
      </c>
      <c r="M61" s="1282">
        <f t="shared" si="20"/>
        <v>0</v>
      </c>
      <c r="N61" s="1282">
        <f t="shared" si="20"/>
        <v>0</v>
      </c>
      <c r="AA61" s="1368"/>
      <c r="AB61" s="1368"/>
      <c r="AC61" s="1368"/>
      <c r="AD61" s="1368"/>
      <c r="AE61" s="1368"/>
      <c r="AF61" s="1368"/>
      <c r="AG61" s="1368"/>
      <c r="AH61" s="1368"/>
      <c r="AI61" s="1368"/>
      <c r="AJ61" s="1368"/>
      <c r="AK61" s="1368"/>
    </row>
    <row r="62" spans="1:37" s="1367" customFormat="1" ht="36.75">
      <c r="A62" s="2866" t="s">
        <v>2948</v>
      </c>
      <c r="B62" s="2871" t="s">
        <v>2949</v>
      </c>
      <c r="C62" s="2766"/>
      <c r="D62" s="1283">
        <f t="shared" si="16"/>
        <v>0</v>
      </c>
      <c r="E62" s="820"/>
      <c r="F62" s="2498"/>
      <c r="G62" s="1281"/>
      <c r="H62" s="1285" t="str">
        <f t="shared" si="17"/>
        <v>——</v>
      </c>
      <c r="I62" s="818">
        <v>0.04</v>
      </c>
      <c r="J62" s="1282">
        <f t="shared" si="18"/>
        <v>0</v>
      </c>
      <c r="K62" s="1282">
        <f t="shared" si="19"/>
        <v>0</v>
      </c>
      <c r="L62" s="1282">
        <v>0</v>
      </c>
      <c r="M62" s="1282">
        <f t="shared" si="20"/>
        <v>0</v>
      </c>
      <c r="N62" s="1282">
        <f t="shared" si="20"/>
        <v>0</v>
      </c>
      <c r="AA62" s="1368"/>
      <c r="AB62" s="1368"/>
      <c r="AC62" s="1368"/>
      <c r="AD62" s="1368"/>
      <c r="AE62" s="1368"/>
      <c r="AF62" s="1368"/>
      <c r="AG62" s="1368"/>
      <c r="AH62" s="1368"/>
      <c r="AI62" s="1368"/>
      <c r="AJ62" s="1368"/>
      <c r="AK62" s="1368"/>
    </row>
    <row r="63" spans="1:37" s="1367" customFormat="1" ht="24">
      <c r="A63" s="2866" t="s">
        <v>2950</v>
      </c>
      <c r="B63" s="2870">
        <f>估价对象房地状况!C24</f>
        <v>0</v>
      </c>
      <c r="C63" s="2766"/>
      <c r="D63" s="1283">
        <f t="shared" si="16"/>
        <v>0</v>
      </c>
      <c r="E63" s="820"/>
      <c r="F63" s="2498"/>
      <c r="G63" s="1281"/>
      <c r="H63" s="1285" t="str">
        <f t="shared" si="17"/>
        <v>——</v>
      </c>
      <c r="I63" s="818">
        <v>0.05</v>
      </c>
      <c r="J63" s="1282">
        <f t="shared" si="18"/>
        <v>0</v>
      </c>
      <c r="K63" s="1282">
        <f t="shared" si="19"/>
        <v>0</v>
      </c>
      <c r="L63" s="1282">
        <v>0</v>
      </c>
      <c r="M63" s="1282">
        <f t="shared" si="20"/>
        <v>0</v>
      </c>
      <c r="N63" s="1282">
        <f t="shared" si="20"/>
        <v>0</v>
      </c>
      <c r="AA63" s="1368"/>
      <c r="AB63" s="1368"/>
      <c r="AC63" s="1368"/>
      <c r="AD63" s="1368"/>
      <c r="AE63" s="1368"/>
      <c r="AF63" s="1368"/>
      <c r="AG63" s="1368"/>
      <c r="AH63" s="1368"/>
      <c r="AI63" s="1368"/>
      <c r="AJ63" s="1368"/>
      <c r="AK63" s="1368"/>
    </row>
    <row r="64" spans="1:37" s="1367" customFormat="1" ht="24">
      <c r="A64" s="2866" t="s">
        <v>2951</v>
      </c>
      <c r="B64" s="2872" t="s">
        <v>2952</v>
      </c>
      <c r="C64" s="2766"/>
      <c r="D64" s="1283">
        <f t="shared" si="16"/>
        <v>0</v>
      </c>
      <c r="E64" s="820"/>
      <c r="F64" s="2498"/>
      <c r="G64" s="1281"/>
      <c r="H64" s="1285" t="str">
        <f t="shared" si="17"/>
        <v>——</v>
      </c>
      <c r="I64" s="818">
        <v>0.05</v>
      </c>
      <c r="J64" s="1282">
        <f t="shared" si="18"/>
        <v>0</v>
      </c>
      <c r="K64" s="1282">
        <f t="shared" si="19"/>
        <v>0</v>
      </c>
      <c r="L64" s="1282">
        <v>0</v>
      </c>
      <c r="M64" s="1282">
        <f t="shared" si="20"/>
        <v>0</v>
      </c>
      <c r="N64" s="1282">
        <f t="shared" si="20"/>
        <v>0</v>
      </c>
      <c r="AA64" s="1368"/>
      <c r="AB64" s="1368"/>
      <c r="AC64" s="1368"/>
      <c r="AD64" s="1368"/>
      <c r="AE64" s="1368"/>
      <c r="AF64" s="1368"/>
      <c r="AG64" s="1368"/>
      <c r="AH64" s="1368"/>
      <c r="AI64" s="1368"/>
      <c r="AJ64" s="1368"/>
      <c r="AK64" s="1368"/>
    </row>
    <row r="65" spans="1:37" s="1367" customFormat="1" ht="25.5">
      <c r="A65" s="2866" t="s">
        <v>2953</v>
      </c>
      <c r="B65" s="1722" t="str">
        <f>估价对象房地状况!C21</f>
        <v>估价对象所在区域公共配套设施齐备情况</v>
      </c>
      <c r="C65" s="2766"/>
      <c r="D65" s="1283">
        <f t="shared" si="16"/>
        <v>0</v>
      </c>
      <c r="E65" s="820"/>
      <c r="F65" s="2498"/>
      <c r="G65" s="1281"/>
      <c r="H65" s="1285" t="str">
        <f t="shared" si="17"/>
        <v>——</v>
      </c>
      <c r="I65" s="818">
        <v>0.06</v>
      </c>
      <c r="J65" s="1282">
        <f t="shared" si="18"/>
        <v>0</v>
      </c>
      <c r="K65" s="1282">
        <f t="shared" si="19"/>
        <v>0</v>
      </c>
      <c r="L65" s="1282">
        <v>0</v>
      </c>
      <c r="M65" s="1282">
        <f t="shared" si="20"/>
        <v>0</v>
      </c>
      <c r="N65" s="1282">
        <f t="shared" si="20"/>
        <v>0</v>
      </c>
      <c r="AA65" s="1368"/>
      <c r="AB65" s="1368"/>
      <c r="AC65" s="1368"/>
      <c r="AD65" s="1368"/>
      <c r="AE65" s="1368"/>
      <c r="AF65" s="1368"/>
      <c r="AG65" s="1368"/>
      <c r="AH65" s="1368"/>
      <c r="AI65" s="1368"/>
      <c r="AJ65" s="1368"/>
      <c r="AK65" s="1368"/>
    </row>
    <row r="66" spans="1:37" s="1367" customFormat="1" ht="25.5">
      <c r="A66" s="2866" t="s">
        <v>2954</v>
      </c>
      <c r="B66" s="1722" t="str">
        <f>估价对象房地状况!C22</f>
        <v>估价对象所在区域基础设施水平</v>
      </c>
      <c r="C66" s="2766"/>
      <c r="D66" s="1283">
        <f t="shared" si="16"/>
        <v>0</v>
      </c>
      <c r="E66" s="820"/>
      <c r="F66" s="2498"/>
      <c r="G66" s="1281"/>
      <c r="H66" s="1285" t="str">
        <f t="shared" si="17"/>
        <v>——</v>
      </c>
      <c r="I66" s="818">
        <v>0.12</v>
      </c>
      <c r="J66" s="1282">
        <f t="shared" si="18"/>
        <v>0</v>
      </c>
      <c r="K66" s="1282">
        <f t="shared" si="19"/>
        <v>0</v>
      </c>
      <c r="L66" s="1282">
        <v>0</v>
      </c>
      <c r="M66" s="1282">
        <f t="shared" si="20"/>
        <v>0</v>
      </c>
      <c r="N66" s="1282">
        <f t="shared" si="20"/>
        <v>0</v>
      </c>
      <c r="AA66" s="1368"/>
      <c r="AB66" s="1368"/>
      <c r="AC66" s="1368"/>
      <c r="AD66" s="1368"/>
      <c r="AE66" s="1368"/>
      <c r="AF66" s="1368"/>
      <c r="AG66" s="1368"/>
      <c r="AH66" s="1368"/>
      <c r="AI66" s="1368"/>
      <c r="AJ66" s="1368"/>
      <c r="AK66" s="1368"/>
    </row>
    <row r="67" spans="1:37" s="1367" customFormat="1" ht="39" thickBot="1">
      <c r="A67" s="2874" t="s">
        <v>2955</v>
      </c>
      <c r="B67" s="2876" t="str">
        <f>估价对象房地状况!C20</f>
        <v>区域自然环境：；人文环境；综合评价环境状况一般</v>
      </c>
      <c r="C67" s="2766"/>
      <c r="D67" s="1283">
        <f t="shared" si="16"/>
        <v>0</v>
      </c>
      <c r="E67" s="823"/>
      <c r="F67" s="2498"/>
      <c r="G67" s="1281"/>
      <c r="H67" s="1285" t="str">
        <f t="shared" si="17"/>
        <v>——</v>
      </c>
      <c r="I67" s="822">
        <v>0.06</v>
      </c>
      <c r="J67" s="1282">
        <f t="shared" si="18"/>
        <v>0</v>
      </c>
      <c r="K67" s="1282">
        <f t="shared" si="19"/>
        <v>0</v>
      </c>
      <c r="L67" s="1282">
        <v>0</v>
      </c>
      <c r="M67" s="1282">
        <f t="shared" si="20"/>
        <v>0</v>
      </c>
      <c r="N67" s="1282">
        <f t="shared" si="20"/>
        <v>0</v>
      </c>
      <c r="AA67" s="1368"/>
      <c r="AB67" s="1368"/>
      <c r="AC67" s="1368"/>
      <c r="AD67" s="1368"/>
      <c r="AE67" s="1368"/>
      <c r="AF67" s="1368"/>
      <c r="AG67" s="1368"/>
      <c r="AH67" s="1368"/>
      <c r="AI67" s="1368"/>
      <c r="AJ67" s="1368"/>
      <c r="AK67" s="1368"/>
    </row>
    <row r="68" spans="1:37" s="1367" customFormat="1" ht="15">
      <c r="A68" s="2862" t="s">
        <v>2959</v>
      </c>
      <c r="B68" s="2863">
        <f>1+E70</f>
        <v>1</v>
      </c>
      <c r="C68" s="812"/>
      <c r="D68" s="812"/>
      <c r="E68" s="813"/>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2937</v>
      </c>
      <c r="B69" s="1806"/>
      <c r="C69" s="1806" t="s">
        <v>2939</v>
      </c>
      <c r="D69" s="1806" t="s">
        <v>2940</v>
      </c>
      <c r="E69" s="817" t="s">
        <v>2941</v>
      </c>
      <c r="F69" s="2867" t="s">
        <v>2957</v>
      </c>
      <c r="G69" s="1806" t="s">
        <v>754</v>
      </c>
      <c r="H69" s="2868" t="s">
        <v>2943</v>
      </c>
      <c r="I69" s="1806" t="s">
        <v>2944</v>
      </c>
      <c r="J69" s="602" t="s">
        <v>2595</v>
      </c>
      <c r="K69" s="602" t="s">
        <v>2596</v>
      </c>
      <c r="L69" s="602" t="s">
        <v>2597</v>
      </c>
      <c r="M69" s="602" t="s">
        <v>2598</v>
      </c>
      <c r="N69" s="602" t="s">
        <v>2599</v>
      </c>
      <c r="AA69" s="1368"/>
      <c r="AB69" s="1368"/>
      <c r="AC69" s="1368"/>
      <c r="AD69" s="1368"/>
      <c r="AE69" s="1368"/>
      <c r="AF69" s="1368"/>
      <c r="AG69" s="1368"/>
      <c r="AH69" s="1368"/>
      <c r="AI69" s="1368"/>
      <c r="AJ69" s="1368"/>
      <c r="AK69" s="1368"/>
    </row>
    <row r="70" spans="1:37" s="1367" customFormat="1" ht="51">
      <c r="A70" s="2866" t="s">
        <v>2960</v>
      </c>
      <c r="B70" s="2869" t="str">
        <f>估价对象房地状况!C15</f>
        <v>估价对象周边居住用地比例、居住小区规模和社区发展完善程度，综合评价居住社区成熟度一般</v>
      </c>
      <c r="C70" s="2766"/>
      <c r="D70" s="1283">
        <f t="shared" ref="D70:D78" si="21">SUMIF($J$69:$N$69,C70,J70:N70)</f>
        <v>0</v>
      </c>
      <c r="E70" s="819">
        <f>ROUND(SUM(D70:D78),4)</f>
        <v>0</v>
      </c>
      <c r="F70" s="2498" t="str">
        <f>IF(E2="住宅",SUMIF(L1:L12,G2,N1:N12),"——")</f>
        <v>——</v>
      </c>
      <c r="G70" s="1281"/>
      <c r="H70" s="1285" t="str">
        <f t="shared" ref="H70:H78" si="22">IFERROR(ROUNDDOWN($F$70*I70/2,4),"——")</f>
        <v>——</v>
      </c>
      <c r="I70" s="818">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51">
      <c r="A71" s="2866" t="s">
        <v>2946</v>
      </c>
      <c r="B71" s="2870" t="str">
        <f>估价对象房地状况!C18</f>
        <v>估价对象周边道路状况、公共交通通达情况、停车便捷程度，综合评价交通便捷度较好</v>
      </c>
      <c r="C71" s="2766"/>
      <c r="D71" s="1283">
        <f t="shared" si="21"/>
        <v>0</v>
      </c>
      <c r="E71" s="824"/>
      <c r="F71" s="2498"/>
      <c r="G71" s="1281"/>
      <c r="H71" s="1285" t="str">
        <f t="shared" si="22"/>
        <v>——</v>
      </c>
      <c r="I71" s="818">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4">
      <c r="A72" s="2866" t="s">
        <v>2947</v>
      </c>
      <c r="B72" s="2870">
        <f>估价对象房地状况!C19</f>
        <v>0</v>
      </c>
      <c r="C72" s="2766"/>
      <c r="D72" s="1283">
        <f t="shared" si="21"/>
        <v>0</v>
      </c>
      <c r="E72" s="824"/>
      <c r="F72" s="2498"/>
      <c r="G72" s="1281"/>
      <c r="H72" s="1285" t="str">
        <f t="shared" si="22"/>
        <v>——</v>
      </c>
      <c r="I72" s="818">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25">
      <c r="A73" s="2866" t="s">
        <v>2961</v>
      </c>
      <c r="B73" s="2870">
        <f>估价对象房地状况!C24</f>
        <v>0</v>
      </c>
      <c r="C73" s="2766"/>
      <c r="D73" s="1283">
        <f t="shared" si="21"/>
        <v>0</v>
      </c>
      <c r="E73" s="824"/>
      <c r="F73" s="2498"/>
      <c r="G73" s="1281"/>
      <c r="H73" s="1285" t="str">
        <f t="shared" si="22"/>
        <v>——</v>
      </c>
      <c r="I73" s="818">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5.5">
      <c r="A74" s="2866" t="s">
        <v>2953</v>
      </c>
      <c r="B74" s="1722" t="str">
        <f>估价对象房地状况!C21</f>
        <v>估价对象所在区域公共配套设施齐备情况</v>
      </c>
      <c r="C74" s="2766"/>
      <c r="D74" s="1283">
        <f t="shared" si="21"/>
        <v>0</v>
      </c>
      <c r="E74" s="824"/>
      <c r="F74" s="2498"/>
      <c r="G74" s="1281"/>
      <c r="H74" s="1285" t="str">
        <f t="shared" si="22"/>
        <v>——</v>
      </c>
      <c r="I74" s="818">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5.5">
      <c r="A75" s="2866" t="s">
        <v>2954</v>
      </c>
      <c r="B75" s="1722" t="str">
        <f>估价对象房地状况!C22</f>
        <v>估价对象所在区域基础设施水平</v>
      </c>
      <c r="C75" s="2766"/>
      <c r="D75" s="1283">
        <f t="shared" si="21"/>
        <v>0</v>
      </c>
      <c r="E75" s="824"/>
      <c r="F75" s="2498"/>
      <c r="G75" s="1281"/>
      <c r="H75" s="1285" t="str">
        <f t="shared" si="22"/>
        <v>——</v>
      </c>
      <c r="I75" s="818">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6" customFormat="1" ht="24">
      <c r="A76" s="2866" t="s">
        <v>2951</v>
      </c>
      <c r="B76" s="2872" t="s">
        <v>2952</v>
      </c>
      <c r="C76" s="2766"/>
      <c r="D76" s="1283">
        <f t="shared" si="21"/>
        <v>0</v>
      </c>
      <c r="E76" s="824"/>
      <c r="F76" s="2498"/>
      <c r="G76" s="1281"/>
      <c r="H76" s="1285" t="str">
        <f t="shared" si="22"/>
        <v>——</v>
      </c>
      <c r="I76" s="818">
        <v>0.05</v>
      </c>
      <c r="J76" s="1282">
        <f t="shared" si="23"/>
        <v>0</v>
      </c>
      <c r="K76" s="1282">
        <f t="shared" si="24"/>
        <v>0</v>
      </c>
      <c r="L76" s="1282">
        <v>0</v>
      </c>
      <c r="M76" s="1282">
        <f t="shared" si="25"/>
        <v>0</v>
      </c>
      <c r="N76" s="1282">
        <f t="shared" si="25"/>
        <v>0</v>
      </c>
      <c r="AA76" s="2877"/>
      <c r="AB76" s="1368"/>
      <c r="AC76" s="1368"/>
      <c r="AD76" s="1368"/>
      <c r="AE76" s="1368"/>
      <c r="AF76" s="1368"/>
      <c r="AG76" s="1368"/>
      <c r="AH76" s="2877"/>
      <c r="AI76" s="2877"/>
      <c r="AJ76" s="2877"/>
      <c r="AK76" s="2877"/>
    </row>
    <row r="77" spans="1:37" ht="38.25">
      <c r="A77" s="2866" t="s">
        <v>2955</v>
      </c>
      <c r="B77" s="2869" t="str">
        <f>估价对象房地状况!C20</f>
        <v>区域自然环境：；人文环境；综合评价环境状况一般</v>
      </c>
      <c r="C77" s="2766"/>
      <c r="D77" s="1283">
        <f t="shared" si="21"/>
        <v>0</v>
      </c>
      <c r="E77" s="824"/>
      <c r="F77" s="2498"/>
      <c r="G77" s="1281"/>
      <c r="H77" s="1285" t="str">
        <f t="shared" si="22"/>
        <v>——</v>
      </c>
      <c r="I77" s="818">
        <v>0.15</v>
      </c>
      <c r="J77" s="1282">
        <f t="shared" si="23"/>
        <v>0</v>
      </c>
      <c r="K77" s="1282">
        <f t="shared" si="24"/>
        <v>0</v>
      </c>
      <c r="L77" s="1282">
        <v>0</v>
      </c>
      <c r="M77" s="1282">
        <f t="shared" si="25"/>
        <v>0</v>
      </c>
      <c r="N77" s="1282">
        <f t="shared" si="25"/>
        <v>0</v>
      </c>
      <c r="Z77" s="2717"/>
      <c r="AA77" s="2784"/>
      <c r="AG77" s="1369"/>
      <c r="AK77" s="2784"/>
    </row>
    <row r="78" spans="1:37" ht="24.75" thickBot="1">
      <c r="A78" s="2874" t="s">
        <v>2962</v>
      </c>
      <c r="B78" s="2878"/>
      <c r="C78" s="2766"/>
      <c r="D78" s="1283">
        <f t="shared" si="21"/>
        <v>0</v>
      </c>
      <c r="E78" s="825"/>
      <c r="F78" s="2498"/>
      <c r="G78" s="1281"/>
      <c r="H78" s="1285" t="str">
        <f t="shared" si="22"/>
        <v>——</v>
      </c>
      <c r="I78" s="822">
        <v>0.04</v>
      </c>
      <c r="J78" s="1282">
        <f t="shared" si="23"/>
        <v>0</v>
      </c>
      <c r="K78" s="1282">
        <f t="shared" si="24"/>
        <v>0</v>
      </c>
      <c r="L78" s="1282">
        <v>0</v>
      </c>
      <c r="M78" s="1282">
        <f t="shared" si="25"/>
        <v>0</v>
      </c>
      <c r="N78" s="1282">
        <f t="shared" si="25"/>
        <v>0</v>
      </c>
      <c r="Z78" s="2717"/>
      <c r="AA78" s="2784"/>
      <c r="AG78" s="1369"/>
      <c r="AK78" s="2784"/>
    </row>
    <row r="79" spans="1:37" ht="15">
      <c r="A79" s="2862" t="s">
        <v>2963</v>
      </c>
      <c r="B79" s="2863">
        <f>1+E81</f>
        <v>1</v>
      </c>
      <c r="C79" s="812"/>
      <c r="D79" s="812"/>
      <c r="E79" s="813"/>
      <c r="F79" s="2865"/>
      <c r="G79" s="6"/>
      <c r="H79" s="6"/>
      <c r="I79" s="6"/>
      <c r="J79" s="7"/>
      <c r="K79" s="7"/>
      <c r="L79" s="7"/>
      <c r="M79" s="7"/>
      <c r="N79" s="7"/>
      <c r="Z79" s="2717"/>
      <c r="AA79" s="2784"/>
      <c r="AG79" s="1369"/>
      <c r="AK79" s="2784"/>
    </row>
    <row r="80" spans="1:37" ht="24.75">
      <c r="A80" s="2866" t="s">
        <v>2937</v>
      </c>
      <c r="B80" s="1806"/>
      <c r="C80" s="1806" t="s">
        <v>2939</v>
      </c>
      <c r="D80" s="1806" t="s">
        <v>2940</v>
      </c>
      <c r="E80" s="817" t="s">
        <v>2941</v>
      </c>
      <c r="F80" s="2867" t="s">
        <v>2957</v>
      </c>
      <c r="G80" s="1806" t="s">
        <v>754</v>
      </c>
      <c r="H80" s="2868" t="s">
        <v>2943</v>
      </c>
      <c r="I80" s="1806" t="s">
        <v>2944</v>
      </c>
      <c r="J80" s="602" t="s">
        <v>2595</v>
      </c>
      <c r="K80" s="602" t="s">
        <v>2596</v>
      </c>
      <c r="L80" s="602" t="s">
        <v>2597</v>
      </c>
      <c r="M80" s="602" t="s">
        <v>2598</v>
      </c>
      <c r="N80" s="602" t="s">
        <v>2599</v>
      </c>
      <c r="Z80" s="2717"/>
      <c r="AA80" s="2784"/>
      <c r="AG80" s="1369"/>
      <c r="AK80" s="2784"/>
    </row>
    <row r="81" spans="1:37" ht="38.25">
      <c r="A81" s="2866" t="s">
        <v>2964</v>
      </c>
      <c r="B81" s="2870" t="str">
        <f>估价对象房地状况!G15</f>
        <v>估价对象位于XX开发区，园区建设成熟度XX，产业集聚程度XX</v>
      </c>
      <c r="C81" s="2766"/>
      <c r="D81" s="1283">
        <f t="shared" ref="D81:D88" si="26">SUMIF($J$80:$N$80,C81,J81:N81)</f>
        <v>0</v>
      </c>
      <c r="E81" s="819">
        <f>ROUND(SUM(D81:D88),4)</f>
        <v>0</v>
      </c>
      <c r="F81" s="2498" t="str">
        <f>IF(E2="工业",SUMIF(L1:L12,G2,N1:N12),"——")</f>
        <v>——</v>
      </c>
      <c r="G81" s="1281"/>
      <c r="H81" s="1285" t="str">
        <f t="shared" ref="H81:H88" si="27">IFERROR(ROUNDDOWN($F$81*I81/2,4),"——")</f>
        <v>——</v>
      </c>
      <c r="I81" s="818">
        <v>0.26</v>
      </c>
      <c r="J81" s="1282">
        <f t="shared" ref="J81:J88" si="28">K81+$G81</f>
        <v>0</v>
      </c>
      <c r="K81" s="1282">
        <f t="shared" ref="K81:K88" si="29">$L81+$G81</f>
        <v>0</v>
      </c>
      <c r="L81" s="1282">
        <v>0</v>
      </c>
      <c r="M81" s="1282">
        <f t="shared" ref="M81:N88" si="30">L81-$G81</f>
        <v>0</v>
      </c>
      <c r="N81" s="1282">
        <f t="shared" si="30"/>
        <v>0</v>
      </c>
      <c r="Z81" s="2717"/>
      <c r="AA81" s="2784"/>
      <c r="AG81" s="1369"/>
      <c r="AK81" s="2784"/>
    </row>
    <row r="82" spans="1:37" ht="51">
      <c r="A82" s="2866" t="s">
        <v>2946</v>
      </c>
      <c r="B82" s="2870" t="str">
        <f>估价对象房地状况!G16</f>
        <v>估价对象周边道路状况、公共交通通达情况、停车便捷程度，综合评价交通便捷度较好</v>
      </c>
      <c r="C82" s="2766"/>
      <c r="D82" s="1283">
        <f t="shared" si="26"/>
        <v>0</v>
      </c>
      <c r="E82" s="824"/>
      <c r="F82" s="2498"/>
      <c r="G82" s="1281"/>
      <c r="H82" s="1285" t="str">
        <f t="shared" si="27"/>
        <v>——</v>
      </c>
      <c r="I82" s="818">
        <v>0.33</v>
      </c>
      <c r="J82" s="1282">
        <f t="shared" si="28"/>
        <v>0</v>
      </c>
      <c r="K82" s="1282">
        <f t="shared" si="29"/>
        <v>0</v>
      </c>
      <c r="L82" s="1282">
        <v>0</v>
      </c>
      <c r="M82" s="1282">
        <f t="shared" si="30"/>
        <v>0</v>
      </c>
      <c r="N82" s="1282">
        <f t="shared" si="30"/>
        <v>0</v>
      </c>
      <c r="Z82" s="2717"/>
      <c r="AA82" s="2784"/>
      <c r="AG82" s="1369"/>
      <c r="AK82" s="2784"/>
    </row>
    <row r="83" spans="1:37" ht="24">
      <c r="A83" s="2866" t="s">
        <v>2947</v>
      </c>
      <c r="B83" s="2870">
        <f>估价对象房地状况!G17</f>
        <v>0</v>
      </c>
      <c r="C83" s="2766"/>
      <c r="D83" s="1283">
        <f t="shared" si="26"/>
        <v>0</v>
      </c>
      <c r="E83" s="824"/>
      <c r="F83" s="2498"/>
      <c r="G83" s="1281"/>
      <c r="H83" s="1285" t="str">
        <f t="shared" si="27"/>
        <v>——</v>
      </c>
      <c r="I83" s="818">
        <v>0.05</v>
      </c>
      <c r="J83" s="1282">
        <f t="shared" si="28"/>
        <v>0</v>
      </c>
      <c r="K83" s="1282">
        <f t="shared" si="29"/>
        <v>0</v>
      </c>
      <c r="L83" s="1282">
        <v>0</v>
      </c>
      <c r="M83" s="1282">
        <f t="shared" si="30"/>
        <v>0</v>
      </c>
      <c r="N83" s="1282">
        <f t="shared" si="30"/>
        <v>0</v>
      </c>
      <c r="Z83" s="2717"/>
      <c r="AA83" s="2784"/>
      <c r="AG83" s="1369"/>
      <c r="AK83" s="2784"/>
    </row>
    <row r="84" spans="1:37" ht="14.25">
      <c r="A84" s="2866" t="s">
        <v>2961</v>
      </c>
      <c r="B84" s="2870">
        <f>估价对象房地状况!G22</f>
        <v>0</v>
      </c>
      <c r="C84" s="2766"/>
      <c r="D84" s="1283">
        <f t="shared" si="26"/>
        <v>0</v>
      </c>
      <c r="E84" s="824"/>
      <c r="F84" s="2498"/>
      <c r="G84" s="1281"/>
      <c r="H84" s="1285" t="str">
        <f t="shared" si="27"/>
        <v>——</v>
      </c>
      <c r="I84" s="818">
        <v>0.04</v>
      </c>
      <c r="J84" s="1282">
        <f t="shared" si="28"/>
        <v>0</v>
      </c>
      <c r="K84" s="1282">
        <f t="shared" si="29"/>
        <v>0</v>
      </c>
      <c r="L84" s="1282">
        <v>0</v>
      </c>
      <c r="M84" s="1282">
        <f t="shared" si="30"/>
        <v>0</v>
      </c>
      <c r="N84" s="1282">
        <f t="shared" si="30"/>
        <v>0</v>
      </c>
      <c r="Z84" s="2717"/>
      <c r="AA84" s="2784"/>
      <c r="AG84" s="1369"/>
      <c r="AK84" s="2784"/>
    </row>
    <row r="85" spans="1:37" ht="25.5">
      <c r="A85" s="2866" t="s">
        <v>2953</v>
      </c>
      <c r="B85" s="1722" t="str">
        <f>估价对象房地状况!G19</f>
        <v>估价对象所在区域公共配套设施齐备情况</v>
      </c>
      <c r="C85" s="2766"/>
      <c r="D85" s="1283">
        <f t="shared" si="26"/>
        <v>0</v>
      </c>
      <c r="E85" s="824"/>
      <c r="F85" s="2498"/>
      <c r="G85" s="1281"/>
      <c r="H85" s="1285" t="str">
        <f t="shared" si="27"/>
        <v>——</v>
      </c>
      <c r="I85" s="818">
        <v>0.06</v>
      </c>
      <c r="J85" s="1282">
        <f t="shared" si="28"/>
        <v>0</v>
      </c>
      <c r="K85" s="1282">
        <f t="shared" si="29"/>
        <v>0</v>
      </c>
      <c r="L85" s="1282">
        <v>0</v>
      </c>
      <c r="M85" s="1282">
        <f t="shared" si="30"/>
        <v>0</v>
      </c>
      <c r="N85" s="1282">
        <f t="shared" si="30"/>
        <v>0</v>
      </c>
      <c r="Z85" s="2717"/>
      <c r="AA85" s="2784"/>
      <c r="AG85" s="1369"/>
      <c r="AK85" s="2784"/>
    </row>
    <row r="86" spans="1:37" ht="25.5">
      <c r="A86" s="2866" t="s">
        <v>2954</v>
      </c>
      <c r="B86" s="1722" t="str">
        <f>估价对象房地状况!G20</f>
        <v>估价对象所在区域基础设施水平</v>
      </c>
      <c r="C86" s="2766"/>
      <c r="D86" s="1283">
        <f t="shared" si="26"/>
        <v>0</v>
      </c>
      <c r="E86" s="824"/>
      <c r="F86" s="2498"/>
      <c r="G86" s="1281"/>
      <c r="H86" s="1285" t="str">
        <f t="shared" si="27"/>
        <v>——</v>
      </c>
      <c r="I86" s="818">
        <v>0.15</v>
      </c>
      <c r="J86" s="1282">
        <f t="shared" si="28"/>
        <v>0</v>
      </c>
      <c r="K86" s="1282">
        <f t="shared" si="29"/>
        <v>0</v>
      </c>
      <c r="L86" s="1282">
        <v>0</v>
      </c>
      <c r="M86" s="1282">
        <f t="shared" si="30"/>
        <v>0</v>
      </c>
      <c r="N86" s="1282">
        <f t="shared" si="30"/>
        <v>0</v>
      </c>
      <c r="Z86" s="2717"/>
      <c r="AA86" s="2784"/>
      <c r="AG86" s="1369"/>
      <c r="AK86" s="2784"/>
    </row>
    <row r="87" spans="1:37" ht="24">
      <c r="A87" s="2866" t="s">
        <v>2951</v>
      </c>
      <c r="B87" s="2872" t="s">
        <v>2965</v>
      </c>
      <c r="C87" s="2766"/>
      <c r="D87" s="1283">
        <f t="shared" si="26"/>
        <v>0</v>
      </c>
      <c r="E87" s="824"/>
      <c r="F87" s="2498"/>
      <c r="G87" s="1281"/>
      <c r="H87" s="1285" t="str">
        <f t="shared" si="27"/>
        <v>——</v>
      </c>
      <c r="I87" s="818">
        <v>0.05</v>
      </c>
      <c r="J87" s="1282">
        <f t="shared" si="28"/>
        <v>0</v>
      </c>
      <c r="K87" s="1282">
        <f t="shared" si="29"/>
        <v>0</v>
      </c>
      <c r="L87" s="1282">
        <v>0</v>
      </c>
      <c r="M87" s="1282">
        <f t="shared" si="30"/>
        <v>0</v>
      </c>
      <c r="N87" s="1282">
        <f t="shared" si="30"/>
        <v>0</v>
      </c>
      <c r="Z87" s="2717"/>
      <c r="AA87" s="2784"/>
      <c r="AG87" s="1369"/>
      <c r="AK87" s="2784"/>
    </row>
    <row r="88" spans="1:37" ht="39" thickBot="1">
      <c r="A88" s="2874" t="s">
        <v>2966</v>
      </c>
      <c r="B88" s="2879" t="str">
        <f>估价对象房地状况!G18</f>
        <v>该园区内是否有污染型企业，绿化情况，卫生条件，整体环境状况判断</v>
      </c>
      <c r="C88" s="2766"/>
      <c r="D88" s="1283">
        <f t="shared" si="26"/>
        <v>0</v>
      </c>
      <c r="E88" s="825"/>
      <c r="F88" s="2498"/>
      <c r="G88" s="1281"/>
      <c r="H88" s="1285" t="str">
        <f t="shared" si="27"/>
        <v>——</v>
      </c>
      <c r="I88" s="822">
        <v>0.06</v>
      </c>
      <c r="J88" s="1282">
        <f t="shared" si="28"/>
        <v>0</v>
      </c>
      <c r="K88" s="1282">
        <f t="shared" si="29"/>
        <v>0</v>
      </c>
      <c r="L88" s="1282">
        <v>0</v>
      </c>
      <c r="M88" s="1282">
        <f t="shared" si="30"/>
        <v>0</v>
      </c>
      <c r="N88" s="1282">
        <f t="shared" si="30"/>
        <v>0</v>
      </c>
      <c r="Z88" s="2717"/>
      <c r="AA88" s="2784"/>
      <c r="AG88" s="1369"/>
      <c r="AK88" s="2784"/>
    </row>
    <row r="90" spans="1:37">
      <c r="A90" s="3218" t="s">
        <v>2967</v>
      </c>
      <c r="B90" s="3218"/>
      <c r="C90" s="3218"/>
      <c r="D90" s="3218"/>
      <c r="E90" s="3218"/>
      <c r="F90" s="3218"/>
      <c r="G90" s="3218"/>
      <c r="H90" s="3218"/>
      <c r="I90" s="3218"/>
      <c r="J90" s="3218"/>
      <c r="K90" s="2880"/>
      <c r="L90" s="2880"/>
      <c r="M90" s="2880"/>
      <c r="N90" s="2880"/>
    </row>
    <row r="91" spans="1:37">
      <c r="A91" s="3220" t="s">
        <v>2968</v>
      </c>
      <c r="B91" s="3220" t="s">
        <v>2969</v>
      </c>
      <c r="C91" s="2834" t="s">
        <v>2970</v>
      </c>
      <c r="D91" s="2835"/>
      <c r="E91" s="2835"/>
      <c r="F91" s="2835"/>
      <c r="G91" s="2835"/>
      <c r="H91" s="2835"/>
      <c r="I91" s="2835"/>
      <c r="J91" s="2881"/>
      <c r="K91" s="2882"/>
      <c r="L91" s="2882"/>
      <c r="M91" s="2882"/>
      <c r="N91" s="2882"/>
    </row>
    <row r="92" spans="1:37">
      <c r="A92" s="3220"/>
      <c r="B92" s="3220"/>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21"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2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2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2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2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2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22"/>
      <c r="B99" s="2883" t="s">
        <v>2853</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22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21" t="s">
        <v>2972</v>
      </c>
      <c r="B101" s="2887" t="s">
        <v>2973</v>
      </c>
      <c r="C101" s="2888">
        <f>$G$3</f>
        <v>4.1500000000000004</v>
      </c>
      <c r="D101" s="2888">
        <f t="shared" ref="D101:N101" si="32">$G$3</f>
        <v>4.1500000000000004</v>
      </c>
      <c r="E101" s="2888">
        <f t="shared" si="32"/>
        <v>4.1500000000000004</v>
      </c>
      <c r="F101" s="2888">
        <f t="shared" si="32"/>
        <v>4.1500000000000004</v>
      </c>
      <c r="G101" s="2888">
        <f t="shared" si="32"/>
        <v>4.1500000000000004</v>
      </c>
      <c r="H101" s="2888">
        <f t="shared" si="32"/>
        <v>4.1500000000000004</v>
      </c>
      <c r="I101" s="2888">
        <f t="shared" si="32"/>
        <v>4.1500000000000004</v>
      </c>
      <c r="J101" s="2888">
        <f t="shared" si="32"/>
        <v>4.1500000000000004</v>
      </c>
      <c r="K101" s="2888">
        <f t="shared" si="32"/>
        <v>4.1500000000000004</v>
      </c>
      <c r="L101" s="2888">
        <f t="shared" si="32"/>
        <v>4.1500000000000004</v>
      </c>
      <c r="M101" s="2888">
        <f t="shared" si="32"/>
        <v>4.1500000000000004</v>
      </c>
      <c r="N101" s="2888">
        <f t="shared" si="32"/>
        <v>4.1500000000000004</v>
      </c>
    </row>
    <row r="102" spans="1:14">
      <c r="A102" s="3222"/>
      <c r="B102" s="2883">
        <v>1</v>
      </c>
      <c r="C102" s="2884">
        <f>1.9362/C101</f>
        <v>0.46655421686746984</v>
      </c>
      <c r="D102" s="2884">
        <f>1.9362/D101</f>
        <v>0.46655421686746984</v>
      </c>
      <c r="E102" s="2884">
        <f>1.8629/E101</f>
        <v>0.44889156626506022</v>
      </c>
      <c r="F102" s="2884">
        <f>1.8629/F101</f>
        <v>0.44889156626506022</v>
      </c>
      <c r="G102" s="2884">
        <f>1.8629/G101</f>
        <v>0.44889156626506022</v>
      </c>
      <c r="H102" s="2884">
        <f>1.8629/H101</f>
        <v>0.44889156626506022</v>
      </c>
      <c r="I102" s="2884">
        <f>1.8629/I101</f>
        <v>0.44889156626506022</v>
      </c>
      <c r="J102" s="2884">
        <f>1.942/J101</f>
        <v>0.46795180722891561</v>
      </c>
      <c r="K102" s="2884">
        <f>1.942/K101</f>
        <v>0.46795180722891561</v>
      </c>
      <c r="L102" s="2884">
        <f>1.942/L101</f>
        <v>0.46795180722891561</v>
      </c>
      <c r="M102" s="2884">
        <f>1.942/M101</f>
        <v>0.46795180722891561</v>
      </c>
      <c r="N102" s="2884">
        <f>1.942/N101</f>
        <v>0.46795180722891561</v>
      </c>
    </row>
    <row r="103" spans="1:14">
      <c r="A103" s="3222"/>
      <c r="B103" s="2883">
        <v>2</v>
      </c>
      <c r="C103" s="2884">
        <f>1.4198/C101</f>
        <v>0.34212048192771083</v>
      </c>
      <c r="D103" s="2884">
        <f>1.4198/D101</f>
        <v>0.34212048192771083</v>
      </c>
      <c r="E103" s="2884">
        <f>1.3372/E101</f>
        <v>0.32221686746987949</v>
      </c>
      <c r="F103" s="2884">
        <f>1.3372/F101</f>
        <v>0.32221686746987949</v>
      </c>
      <c r="G103" s="2884">
        <f>1.3372/G101</f>
        <v>0.32221686746987949</v>
      </c>
      <c r="H103" s="2884">
        <f>1.3372/H101</f>
        <v>0.32221686746987949</v>
      </c>
      <c r="I103" s="2884">
        <f>1.3372/I101</f>
        <v>0.32221686746987949</v>
      </c>
      <c r="J103" s="2884">
        <f>1.2799/J101</f>
        <v>0.30840963855421683</v>
      </c>
      <c r="K103" s="2884">
        <f>1.2799/K101</f>
        <v>0.30840963855421683</v>
      </c>
      <c r="L103" s="2884">
        <f>1.2799/L101</f>
        <v>0.30840963855421683</v>
      </c>
      <c r="M103" s="2884">
        <f>1.2799/M101</f>
        <v>0.30840963855421683</v>
      </c>
      <c r="N103" s="2884">
        <f>1.2799/N101</f>
        <v>0.30840963855421683</v>
      </c>
    </row>
    <row r="104" spans="1:14">
      <c r="A104" s="3222"/>
      <c r="B104" s="2883">
        <v>3</v>
      </c>
      <c r="C104" s="2884">
        <f>1.1594/C101</f>
        <v>0.27937349397590361</v>
      </c>
      <c r="D104" s="2884">
        <f>1.1594/D101</f>
        <v>0.27937349397590361</v>
      </c>
      <c r="E104" s="2884">
        <f>1.0788/E101</f>
        <v>0.25995180722891564</v>
      </c>
      <c r="F104" s="2884">
        <f>1.0788/F101</f>
        <v>0.25995180722891564</v>
      </c>
      <c r="G104" s="2884">
        <f>1.0788/G101</f>
        <v>0.25995180722891564</v>
      </c>
      <c r="H104" s="2884">
        <f>1.0788/H101</f>
        <v>0.25995180722891564</v>
      </c>
      <c r="I104" s="2884">
        <f>1.0788/I101</f>
        <v>0.25995180722891564</v>
      </c>
      <c r="J104" s="2884">
        <f>1.0072/J101</f>
        <v>0.2426987951807229</v>
      </c>
      <c r="K104" s="2884">
        <f>1.0072/K101</f>
        <v>0.2426987951807229</v>
      </c>
      <c r="L104" s="2884">
        <f>1.0072/L101</f>
        <v>0.2426987951807229</v>
      </c>
      <c r="M104" s="2884">
        <f>1.0072/M101</f>
        <v>0.2426987951807229</v>
      </c>
      <c r="N104" s="2884">
        <f>1.0072/N101</f>
        <v>0.2426987951807229</v>
      </c>
    </row>
    <row r="105" spans="1:14">
      <c r="A105" s="3222"/>
      <c r="B105" s="2883">
        <v>4</v>
      </c>
      <c r="C105" s="2884">
        <f>0.9622/C101</f>
        <v>0.23185542168674697</v>
      </c>
      <c r="D105" s="2884">
        <f>0.9622/D101</f>
        <v>0.23185542168674697</v>
      </c>
      <c r="E105" s="2884">
        <f>0.8656/E101</f>
        <v>0.20857831325301204</v>
      </c>
      <c r="F105" s="2884">
        <f>0.8656/F101</f>
        <v>0.20857831325301204</v>
      </c>
      <c r="G105" s="2884">
        <f>0.8656/G101</f>
        <v>0.20857831325301204</v>
      </c>
      <c r="H105" s="2884">
        <f>0.8656/H101</f>
        <v>0.20857831325301204</v>
      </c>
      <c r="I105" s="2884">
        <f>0.8656/I101</f>
        <v>0.20857831325301204</v>
      </c>
      <c r="J105" s="2884">
        <f>0.7525/J101</f>
        <v>0.18132530120481924</v>
      </c>
      <c r="K105" s="2884">
        <f>0.7525/K101</f>
        <v>0.18132530120481924</v>
      </c>
      <c r="L105" s="2884">
        <f>0.7525/L101</f>
        <v>0.18132530120481924</v>
      </c>
      <c r="M105" s="2884">
        <f>0.7525/M101</f>
        <v>0.18132530120481924</v>
      </c>
      <c r="N105" s="2884">
        <f>0.7525/N101</f>
        <v>0.18132530120481924</v>
      </c>
    </row>
    <row r="106" spans="1:14">
      <c r="A106" s="3222"/>
      <c r="B106" s="2883">
        <v>5</v>
      </c>
      <c r="C106" s="2884">
        <f>0.8417/C101</f>
        <v>0.20281927710843373</v>
      </c>
      <c r="D106" s="2884">
        <f>0.8417/D101</f>
        <v>0.20281927710843373</v>
      </c>
      <c r="E106" s="2884">
        <f>0.7371/E101</f>
        <v>0.17761445783132529</v>
      </c>
      <c r="F106" s="2884">
        <f>0.7371/F101</f>
        <v>0.17761445783132529</v>
      </c>
      <c r="G106" s="2884">
        <f>0.7371/G101</f>
        <v>0.17761445783132529</v>
      </c>
      <c r="H106" s="2884">
        <f>0.7371/H101</f>
        <v>0.17761445783132529</v>
      </c>
      <c r="I106" s="2884">
        <f>0.7371/I101</f>
        <v>0.17761445783132529</v>
      </c>
      <c r="J106" s="2884">
        <f>0.5659/J101</f>
        <v>0.1363614457831325</v>
      </c>
      <c r="K106" s="2884">
        <f>0.5659/K101</f>
        <v>0.1363614457831325</v>
      </c>
      <c r="L106" s="2884">
        <f>0.5659/L101</f>
        <v>0.1363614457831325</v>
      </c>
      <c r="M106" s="2884">
        <f>0.5659/M101</f>
        <v>0.1363614457831325</v>
      </c>
      <c r="N106" s="2884">
        <f>0.5659/N101</f>
        <v>0.1363614457831325</v>
      </c>
    </row>
    <row r="107" spans="1:14">
      <c r="A107" s="3222"/>
      <c r="B107" s="2883">
        <v>6</v>
      </c>
      <c r="C107" s="2884">
        <f>0.7608/C101</f>
        <v>0.18332530120481927</v>
      </c>
      <c r="D107" s="2884">
        <f>0.7608/D101</f>
        <v>0.18332530120481927</v>
      </c>
      <c r="E107" s="2884">
        <f>0.6482/E101</f>
        <v>0.15619277108433732</v>
      </c>
      <c r="F107" s="2884">
        <f>0.6482/F101</f>
        <v>0.15619277108433732</v>
      </c>
      <c r="G107" s="2884">
        <f>0.6482/G101</f>
        <v>0.15619277108433732</v>
      </c>
      <c r="H107" s="2884">
        <f>0.6482/H101</f>
        <v>0.15619277108433732</v>
      </c>
      <c r="I107" s="2884">
        <f>0.6482/I101</f>
        <v>0.15619277108433732</v>
      </c>
      <c r="J107" s="2884">
        <f>0.4525/J101</f>
        <v>0.10903614457831325</v>
      </c>
      <c r="K107" s="2884">
        <f>0.4525/K101</f>
        <v>0.10903614457831325</v>
      </c>
      <c r="L107" s="2884">
        <f>0.4525/L101</f>
        <v>0.10903614457831325</v>
      </c>
      <c r="M107" s="2884">
        <f>0.4525/M101</f>
        <v>0.10903614457831325</v>
      </c>
      <c r="N107" s="2884">
        <f>0.4525/N101</f>
        <v>0.10903614457831325</v>
      </c>
    </row>
    <row r="108" spans="1:14">
      <c r="A108" s="3222"/>
      <c r="B108" s="3133" t="s">
        <v>2974</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223"/>
      <c r="B109" s="3134"/>
      <c r="C109" s="2886">
        <f>(-0.163*(C108^2)-0.59*C108+7617)*(10^(-4))/C101</f>
        <v>0.1835421686746988</v>
      </c>
      <c r="D109" s="2886">
        <f>(-0.163*(D108^2)-0.59*D108+7617)*(10^(-4))/D101</f>
        <v>0.1835421686746988</v>
      </c>
      <c r="E109" s="2886">
        <f>(-0.161*(E108^2)-7.509*E108+6533)*(10^(-4))/E101</f>
        <v>0.15742168674698795</v>
      </c>
      <c r="F109" s="2886">
        <f>(-0.161*(F108^2)-7.509*F108+6533)*(10^(-4))/F101</f>
        <v>0.15742168674698795</v>
      </c>
      <c r="G109" s="2886">
        <f>(-0.161*(G108^2)-7.509*G108+6533)*(10^(-4))/G101</f>
        <v>0.15742168674698795</v>
      </c>
      <c r="H109" s="2886">
        <f>(-0.161*(H108^2)-7.509*H108+6533)*(10^(-4))/H101</f>
        <v>0.15742168674698795</v>
      </c>
      <c r="I109" s="2886">
        <f>(-0.161*(I108^2)-7.509*I108+6533)*(10^(-4))/I101</f>
        <v>0.15742168674698795</v>
      </c>
      <c r="J109" s="2886">
        <f>(-0.214*(J108^2)-21.991*J108+4665)*(10^(-4))/J101</f>
        <v>0.11240963855421686</v>
      </c>
      <c r="K109" s="2886">
        <f>(-0.214*(K108^2)-21.991*K108+4665)*(10^(-4))/K101</f>
        <v>0.11240963855421686</v>
      </c>
      <c r="L109" s="2886">
        <f>(-0.214*(L108^2)-21.991*L108+4665)*(10^(-4))/L101</f>
        <v>0.11240963855421686</v>
      </c>
      <c r="M109" s="2886">
        <f>(-0.214*(M108^2)-21.991*M108+4665)*(10^(-4))/M101</f>
        <v>0.11240963855421686</v>
      </c>
      <c r="N109" s="2886">
        <f>(-0.214*(N108^2)-21.991*N108+4665)*(10^(-4))/N101</f>
        <v>0.11240963855421686</v>
      </c>
    </row>
    <row r="110" spans="1:14">
      <c r="A110" s="3219" t="s">
        <v>2975</v>
      </c>
      <c r="B110" s="3219"/>
      <c r="C110" s="3219"/>
      <c r="D110" s="3219"/>
      <c r="E110" s="3219"/>
      <c r="F110" s="3219"/>
      <c r="G110" s="3219"/>
      <c r="H110" s="3219"/>
      <c r="I110" s="3219"/>
      <c r="J110" s="3219"/>
      <c r="K110" s="2889"/>
      <c r="L110" s="2889"/>
      <c r="M110" s="2889"/>
      <c r="N110" s="2889"/>
    </row>
    <row r="112" spans="1:14" ht="13.5" thickBot="1"/>
    <row r="113" spans="1:13" ht="25.5" thickBot="1">
      <c r="A113" s="901" t="s">
        <v>2976</v>
      </c>
      <c r="B113" s="1284">
        <f>G3</f>
        <v>4.1500000000000004</v>
      </c>
      <c r="C113" s="902" t="s">
        <v>2977</v>
      </c>
      <c r="D113" s="903">
        <f>SUMPRODUCT((A115:A118=F113)*(B114:M114=H113)*B115:M118)</f>
        <v>0.78790000000000004</v>
      </c>
      <c r="E113" s="2721" t="s">
        <v>2811</v>
      </c>
      <c r="F113" s="2891" t="str">
        <f>E2</f>
        <v>商业</v>
      </c>
      <c r="G113" s="2721" t="s">
        <v>2812</v>
      </c>
      <c r="H113" s="2891" t="str">
        <f>G2</f>
        <v>六级</v>
      </c>
      <c r="I113" s="2721"/>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2875</v>
      </c>
      <c r="B115" s="908">
        <f>ROUND(0.9335-0.0094*B113,4)</f>
        <v>0.89449999999999996</v>
      </c>
      <c r="C115" s="908">
        <f>B115</f>
        <v>0.89449999999999996</v>
      </c>
      <c r="D115" s="908">
        <f>ROUND(0.8331-0.0109*B113,4)</f>
        <v>0.78790000000000004</v>
      </c>
      <c r="E115" s="908">
        <f>D115</f>
        <v>0.78790000000000004</v>
      </c>
      <c r="F115" s="908">
        <f>E115</f>
        <v>0.78790000000000004</v>
      </c>
      <c r="G115" s="908">
        <f>F115</f>
        <v>0.78790000000000004</v>
      </c>
      <c r="H115" s="908">
        <f>G115</f>
        <v>0.78790000000000004</v>
      </c>
      <c r="I115" s="908">
        <f>ROUND(0.689-0.0155*B113,4)</f>
        <v>0.62470000000000003</v>
      </c>
      <c r="J115" s="908">
        <f t="shared" ref="J115:M118" si="34">I115</f>
        <v>0.62470000000000003</v>
      </c>
      <c r="K115" s="908">
        <f t="shared" si="34"/>
        <v>0.62470000000000003</v>
      </c>
      <c r="L115" s="908">
        <f t="shared" si="34"/>
        <v>0.62470000000000003</v>
      </c>
      <c r="M115" s="909">
        <f t="shared" si="34"/>
        <v>0.62470000000000003</v>
      </c>
    </row>
    <row r="116" spans="1:13">
      <c r="A116" s="907" t="s">
        <v>2876</v>
      </c>
      <c r="B116" s="908">
        <f>ROUND(0.949-0.012*B113,4)</f>
        <v>0.8992</v>
      </c>
      <c r="C116" s="908">
        <f>B116</f>
        <v>0.8992</v>
      </c>
      <c r="D116" s="908">
        <f>ROUND(0.8567-0.013*B113,4)</f>
        <v>0.80279999999999996</v>
      </c>
      <c r="E116" s="908">
        <f t="shared" ref="E116:H117" si="35">D116</f>
        <v>0.80279999999999996</v>
      </c>
      <c r="F116" s="908">
        <f t="shared" si="35"/>
        <v>0.80279999999999996</v>
      </c>
      <c r="G116" s="908">
        <f t="shared" si="35"/>
        <v>0.80279999999999996</v>
      </c>
      <c r="H116" s="908">
        <f t="shared" si="35"/>
        <v>0.80279999999999996</v>
      </c>
      <c r="I116" s="908">
        <f>ROUND(0.7694-0.014*B113,4)</f>
        <v>0.71130000000000004</v>
      </c>
      <c r="J116" s="908">
        <f t="shared" si="34"/>
        <v>0.71130000000000004</v>
      </c>
      <c r="K116" s="908">
        <f t="shared" si="34"/>
        <v>0.71130000000000004</v>
      </c>
      <c r="L116" s="908">
        <f t="shared" si="34"/>
        <v>0.71130000000000004</v>
      </c>
      <c r="M116" s="909">
        <f t="shared" si="34"/>
        <v>0.71130000000000004</v>
      </c>
    </row>
    <row r="117" spans="1:13">
      <c r="A117" s="907" t="s">
        <v>2877</v>
      </c>
      <c r="B117" s="908">
        <f>ROUND(0.8808-0.006*B113,4)</f>
        <v>0.85589999999999999</v>
      </c>
      <c r="C117" s="908">
        <f>B117</f>
        <v>0.85589999999999999</v>
      </c>
      <c r="D117" s="908">
        <f>ROUND(0.8748-0.008*B113,4)</f>
        <v>0.84160000000000001</v>
      </c>
      <c r="E117" s="908">
        <f t="shared" si="35"/>
        <v>0.84160000000000001</v>
      </c>
      <c r="F117" s="908">
        <f t="shared" si="35"/>
        <v>0.84160000000000001</v>
      </c>
      <c r="G117" s="908">
        <f t="shared" si="35"/>
        <v>0.84160000000000001</v>
      </c>
      <c r="H117" s="908">
        <f t="shared" si="35"/>
        <v>0.84160000000000001</v>
      </c>
      <c r="I117" s="908">
        <f>ROUND(0.7412-0.0095*B113,4)</f>
        <v>0.70179999999999998</v>
      </c>
      <c r="J117" s="908">
        <f t="shared" si="34"/>
        <v>0.70179999999999998</v>
      </c>
      <c r="K117" s="908">
        <f t="shared" si="34"/>
        <v>0.70179999999999998</v>
      </c>
      <c r="L117" s="908">
        <f t="shared" si="34"/>
        <v>0.70179999999999998</v>
      </c>
      <c r="M117" s="909">
        <f t="shared" si="34"/>
        <v>0.70179999999999998</v>
      </c>
    </row>
    <row r="118" spans="1:13" ht="13.5" thickBot="1">
      <c r="A118" s="713" t="s">
        <v>2878</v>
      </c>
      <c r="B118" s="910">
        <f>ROUND(0.7275-0.01*B113,4)</f>
        <v>0.68600000000000005</v>
      </c>
      <c r="C118" s="910">
        <f>B118</f>
        <v>0.68600000000000005</v>
      </c>
      <c r="D118" s="910">
        <f>ROUND(0.7043-0.012*B113,4)</f>
        <v>0.65449999999999997</v>
      </c>
      <c r="E118" s="910">
        <f>D118</f>
        <v>0.65449999999999997</v>
      </c>
      <c r="F118" s="910">
        <f>E118</f>
        <v>0.65449999999999997</v>
      </c>
      <c r="G118" s="910">
        <f>ROUND(0.6299-0.0122*B113,4)</f>
        <v>0.57930000000000004</v>
      </c>
      <c r="H118" s="910">
        <f>G118</f>
        <v>0.57930000000000004</v>
      </c>
      <c r="I118" s="910">
        <f>ROUND(0.5667-0.0136*B113,4)</f>
        <v>0.51029999999999998</v>
      </c>
      <c r="J118" s="910">
        <f t="shared" si="34"/>
        <v>0.51029999999999998</v>
      </c>
      <c r="K118" s="910">
        <f t="shared" si="34"/>
        <v>0.51029999999999998</v>
      </c>
      <c r="L118" s="910">
        <f t="shared" si="34"/>
        <v>0.51029999999999998</v>
      </c>
      <c r="M118" s="911">
        <f t="shared" si="34"/>
        <v>0.51029999999999998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5" sqref="C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0"/>
      <c r="C1" s="1834" t="s">
        <v>3060</v>
      </c>
      <c r="D1" s="1817" t="s">
        <v>70</v>
      </c>
      <c r="E1" s="1818" t="s">
        <v>1383</v>
      </c>
      <c r="F1" s="1280">
        <f ca="1">J53</f>
        <v>24.79</v>
      </c>
      <c r="G1" s="1833">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1511</v>
      </c>
      <c r="B2" s="1841">
        <f ca="1">C40+J29+L46</f>
        <v>139582</v>
      </c>
      <c r="C2" s="1842" t="s">
        <v>1512</v>
      </c>
      <c r="D2" s="1842"/>
      <c r="E2" s="1843"/>
      <c r="F2" s="1844"/>
      <c r="G2" s="1845"/>
      <c r="H2" s="1837"/>
      <c r="I2" s="1837"/>
      <c r="J2" s="1837"/>
      <c r="K2" s="1838"/>
      <c r="L2" s="1837"/>
      <c r="M2" s="1837"/>
    </row>
    <row r="3" spans="1:37" ht="18" customHeight="1" thickBot="1">
      <c r="A3" s="1846" t="s">
        <v>1513</v>
      </c>
      <c r="B3" s="1847">
        <f ca="1">IF(ISERROR(B2*10000/F43),0,ROUND(B2*10000/F43,0))</f>
        <v>28505</v>
      </c>
      <c r="C3" s="1842" t="s">
        <v>1514</v>
      </c>
      <c r="D3" s="1842"/>
      <c r="E3" s="1843"/>
      <c r="F3" s="1844"/>
      <c r="G3" s="1845"/>
      <c r="H3" s="742"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11945</v>
      </c>
      <c r="D5" s="1819" t="s">
        <v>1398</v>
      </c>
      <c r="E5" s="1290"/>
      <c r="F5" s="1291"/>
      <c r="G5" s="1848"/>
      <c r="H5" s="343">
        <v>1</v>
      </c>
      <c r="I5" s="344" t="s">
        <v>1397</v>
      </c>
      <c r="J5" s="1289">
        <f ca="1">J6+J10+J12</f>
        <v>0</v>
      </c>
      <c r="K5" s="1819" t="s">
        <v>1398</v>
      </c>
      <c r="L5" s="1290"/>
      <c r="M5" s="1291"/>
    </row>
    <row r="6" spans="1:37" ht="18" customHeight="1">
      <c r="A6" s="1288" t="s">
        <v>1032</v>
      </c>
      <c r="B6" s="3231" t="s">
        <v>1399</v>
      </c>
      <c r="C6" s="1293">
        <f ca="1">ROUND(F6*F8*F7*(1-F9)/10000,0)</f>
        <v>11945</v>
      </c>
      <c r="D6" s="163" t="s">
        <v>3027</v>
      </c>
      <c r="E6" s="346" t="s">
        <v>1401</v>
      </c>
      <c r="F6" s="347">
        <f ca="1">INDIRECT("'数据-取费表'!u"&amp;$G$1)</f>
        <v>6.6833803207633151</v>
      </c>
      <c r="G6" s="1848"/>
      <c r="H6" s="1288" t="s">
        <v>1032</v>
      </c>
      <c r="I6" s="3231" t="s">
        <v>1399</v>
      </c>
      <c r="J6" s="345">
        <f ca="1">ROUND(M6*M8*M7*(1-M9)/10000,0)</f>
        <v>0</v>
      </c>
      <c r="K6" s="163" t="s">
        <v>3026</v>
      </c>
      <c r="L6" s="346" t="s">
        <v>1401</v>
      </c>
      <c r="M6" s="347">
        <f ca="1">INDIRECT("'数据-取费表'!z"&amp;$G$1)</f>
        <v>0</v>
      </c>
    </row>
    <row r="7" spans="1:37" ht="18" customHeight="1">
      <c r="A7" s="1292"/>
      <c r="B7" s="3232"/>
      <c r="C7" s="1294"/>
      <c r="D7" s="351"/>
      <c r="E7" s="1295" t="s">
        <v>1402</v>
      </c>
      <c r="F7" s="347">
        <f ca="1">IF(INDIRECT("'数据-取费表'!ah"&amp;$G$1)="",INDIRECT("'数据-取费表'!k"&amp;$G$1),INDIRECT("'数据-取费表'!ah"&amp;$G$1))</f>
        <v>48967.92</v>
      </c>
      <c r="G7" s="1848"/>
      <c r="H7" s="348"/>
      <c r="I7" s="3232"/>
      <c r="J7" s="350"/>
      <c r="K7" s="351"/>
      <c r="L7" s="346" t="s">
        <v>1402</v>
      </c>
      <c r="M7" s="347">
        <f ca="1">F7</f>
        <v>48967.92</v>
      </c>
    </row>
    <row r="8" spans="1:37" ht="18" customHeight="1">
      <c r="A8" s="348"/>
      <c r="B8" s="3232"/>
      <c r="C8" s="350"/>
      <c r="D8" s="351"/>
      <c r="E8" s="346" t="s">
        <v>1403</v>
      </c>
      <c r="F8" s="347">
        <f ca="1">INDIRECT("'数据-取费表'!ai"&amp;$G$1)</f>
        <v>365</v>
      </c>
      <c r="G8" s="1848"/>
      <c r="H8" s="348"/>
      <c r="I8" s="3232"/>
      <c r="J8" s="350"/>
      <c r="K8" s="351"/>
      <c r="L8" s="346" t="s">
        <v>1403</v>
      </c>
      <c r="M8" s="347">
        <f ca="1">INDIRECT("'数据-取费表'!ai"&amp;$G$1)</f>
        <v>365</v>
      </c>
    </row>
    <row r="9" spans="1:37" ht="18" customHeight="1">
      <c r="A9" s="348"/>
      <c r="B9" s="3233"/>
      <c r="C9" s="350"/>
      <c r="D9" s="351"/>
      <c r="E9" s="346" t="s">
        <v>1404</v>
      </c>
      <c r="F9" s="356">
        <f ca="1">INDIRECT("'数据-取费表'!w"&amp;$G$1)</f>
        <v>0</v>
      </c>
      <c r="G9" s="1848"/>
      <c r="H9" s="348"/>
      <c r="I9" s="3233"/>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3036</v>
      </c>
      <c r="E10" s="357" t="s">
        <v>1406</v>
      </c>
      <c r="F10" s="1363" t="s">
        <v>3084</v>
      </c>
      <c r="G10" s="1848"/>
      <c r="H10" s="1288" t="s">
        <v>1036</v>
      </c>
      <c r="I10" s="1820" t="s">
        <v>1405</v>
      </c>
      <c r="J10" s="345">
        <f ca="1">ROUND(IF(M10="押一",J6/12*M11,IF(M10="押二",J6/12*2*M11,IF(M10="押三",J6/12*3*M11,J11*M11))),0)</f>
        <v>0</v>
      </c>
      <c r="K10" s="1821" t="s">
        <v>3035</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6"/>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55979</v>
      </c>
      <c r="D13" s="1328" t="s">
        <v>1411</v>
      </c>
      <c r="E13" s="1328" t="s">
        <v>1412</v>
      </c>
      <c r="F13" s="1329">
        <f ca="1">INDIRECT("'数据-取费表'!y"&amp;$G$1)</f>
        <v>0.93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39174</v>
      </c>
      <c r="D14" s="1797" t="s">
        <v>1414</v>
      </c>
      <c r="E14" s="1791"/>
      <c r="F14" s="363"/>
      <c r="G14" s="1848"/>
      <c r="H14" s="1198" t="s">
        <v>1032</v>
      </c>
      <c r="I14" s="346" t="s">
        <v>1415</v>
      </c>
      <c r="J14" s="24">
        <f ca="1">C29</f>
        <v>60193</v>
      </c>
      <c r="K14" s="15"/>
      <c r="L14" s="976"/>
      <c r="M14" s="977"/>
    </row>
    <row r="15" spans="1:37" s="1855" customFormat="1" ht="18" customHeight="1" thickBot="1">
      <c r="A15" s="1198" t="s">
        <v>1033</v>
      </c>
      <c r="B15" s="346" t="s">
        <v>1416</v>
      </c>
      <c r="C15" s="24">
        <f ca="1">ROUND(C14*F15,0)</f>
        <v>1175</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1411</v>
      </c>
      <c r="K16" s="1334" t="s">
        <v>1421</v>
      </c>
      <c r="L16" s="1335"/>
      <c r="M16" s="1291"/>
    </row>
    <row r="17" spans="1:37" s="1855" customFormat="1" ht="18" customHeight="1">
      <c r="A17" s="1198" t="s">
        <v>1386</v>
      </c>
      <c r="B17" s="346" t="s">
        <v>1422</v>
      </c>
      <c r="C17" s="24">
        <f ca="1">ROUND(F17*(F43+INDIRECT("'数据-取费表'!S"&amp;$G$1))/10000,0)</f>
        <v>979</v>
      </c>
      <c r="D17" s="346" t="s">
        <v>1423</v>
      </c>
      <c r="E17" s="346" t="s">
        <v>1424</v>
      </c>
      <c r="F17" s="26">
        <f>'数据-取费表'!B35</f>
        <v>200</v>
      </c>
      <c r="G17" s="1851"/>
      <c r="H17" s="1198" t="s">
        <v>1032</v>
      </c>
      <c r="I17" s="346" t="s">
        <v>1425</v>
      </c>
      <c r="J17" s="24">
        <f ca="1">ROUND(IF(项目基本情况!B11="自然人",J5*M17,J18+J19+J20),1)</f>
        <v>508.3</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588</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41916</v>
      </c>
      <c r="D19" s="139" t="s">
        <v>1432</v>
      </c>
      <c r="E19" s="1815"/>
      <c r="F19" s="26"/>
      <c r="G19" s="1848"/>
      <c r="H19" s="1198" t="s">
        <v>1033</v>
      </c>
      <c r="I19" s="346" t="s">
        <v>1433</v>
      </c>
      <c r="J19" s="24">
        <f ca="1">IF(K19="按租金收入计税",ROUND(J5*M19,2),ROUND(C29*M19*0.7,2))</f>
        <v>505.62</v>
      </c>
      <c r="K19" s="1825" t="s">
        <v>1434</v>
      </c>
      <c r="L19" s="346" t="s">
        <v>1418</v>
      </c>
      <c r="M19" s="366">
        <f>IF(K19="按租金收入计税",'数据-取费表'!B51,'数据-取费表'!B50)</f>
        <v>1.2E-2</v>
      </c>
    </row>
    <row r="20" spans="1:37" s="1855" customFormat="1" ht="18" customHeight="1">
      <c r="A20" s="1198" t="s">
        <v>1036</v>
      </c>
      <c r="B20" s="346" t="s">
        <v>1435</v>
      </c>
      <c r="C20" s="24">
        <f ca="1">ROUND(C19*F20,0)</f>
        <v>838</v>
      </c>
      <c r="D20" s="368" t="s">
        <v>1436</v>
      </c>
      <c r="E20" s="346" t="s">
        <v>1418</v>
      </c>
      <c r="F20" s="366">
        <f>'数据-取费表'!B37</f>
        <v>0.02</v>
      </c>
      <c r="G20" s="1851"/>
      <c r="H20" s="1198" t="s">
        <v>1385</v>
      </c>
      <c r="I20" s="163" t="s">
        <v>1437</v>
      </c>
      <c r="J20" s="25">
        <f ca="1">ROUND(M20*M21/10000,2)</f>
        <v>2.69</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8969.4599999999991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902.9</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2031</v>
      </c>
      <c r="D23" s="374" t="str">
        <f>IF(F23&lt;=1,"(建造成本+管理费用)×利率×(建设周期÷2)","(建造成本+管理费用)×((1+利率)^(建设周期÷2)-1)")</f>
        <v>(建造成本+管理费用)×((1+利率)^(建设周期÷2)-1)</v>
      </c>
      <c r="E23" s="346" t="s">
        <v>1448</v>
      </c>
      <c r="F23" s="370">
        <f>'数据-取费表'!B20</f>
        <v>2</v>
      </c>
      <c r="G23" s="1851"/>
      <c r="H23" s="1198" t="s">
        <v>1072</v>
      </c>
      <c r="I23" s="346" t="s">
        <v>1449</v>
      </c>
      <c r="J23" s="24">
        <f ca="1">ROUND(J13*M23,1)</f>
        <v>0</v>
      </c>
      <c r="K23" s="1795"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-1411</v>
      </c>
      <c r="K25" s="1342" t="s">
        <v>1460</v>
      </c>
      <c r="L25" s="1343"/>
      <c r="M25" s="1344"/>
    </row>
    <row r="26" spans="1:37">
      <c r="A26" s="1198" t="s">
        <v>1031</v>
      </c>
      <c r="B26" s="346" t="s">
        <v>1461</v>
      </c>
      <c r="C26" s="24">
        <f ca="1">ROUND((C19+C20)*F26,0)</f>
        <v>10689</v>
      </c>
      <c r="D26" s="368" t="s">
        <v>1462</v>
      </c>
      <c r="E26" s="357" t="s">
        <v>1463</v>
      </c>
      <c r="F26" s="356">
        <f ca="1">INDIRECT("'数据-取费表'!q"&amp;$G$1)</f>
        <v>0.25</v>
      </c>
      <c r="G26" s="1848"/>
      <c r="H26" s="343" t="s">
        <v>1029</v>
      </c>
      <c r="I26" s="344" t="s">
        <v>1464</v>
      </c>
      <c r="J26" s="345">
        <f ca="1">IF(J5&lt;&gt;0,ROUND(J25*(1-((1+M28)/(1+M26))^M27)/(M26-M28),0),0)</f>
        <v>0</v>
      </c>
      <c r="K26" s="369" t="s">
        <v>1465</v>
      </c>
      <c r="L26" s="346" t="s">
        <v>1466</v>
      </c>
      <c r="M26" s="356">
        <f ca="1">INDIRECT("'数据-取费表'!I"&amp;$G$1)</f>
        <v>7.0000000000000007E-2</v>
      </c>
    </row>
    <row r="27" spans="1:37" ht="18" customHeight="1">
      <c r="A27" s="1198" t="s">
        <v>1033</v>
      </c>
      <c r="B27" s="346" t="s">
        <v>1467</v>
      </c>
      <c r="C27" s="24">
        <f ca="1">ROUND(F21*F26,4)</f>
        <v>5.0000000000000001E-3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5.2400000000000002E-2</v>
      </c>
      <c r="D28" s="368" t="s">
        <v>1472</v>
      </c>
      <c r="E28" s="346" t="s">
        <v>1418</v>
      </c>
      <c r="F28" s="366">
        <f>'数据-取费表'!B41</f>
        <v>5.5000000000000007E-2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60193</v>
      </c>
      <c r="D29" s="1339"/>
      <c r="E29" s="1337"/>
      <c r="F29" s="1340"/>
      <c r="G29" s="1851"/>
      <c r="H29" s="379" t="s">
        <v>1030</v>
      </c>
      <c r="I29" s="380" t="s">
        <v>1475</v>
      </c>
      <c r="J29" s="381">
        <f ca="1">ROUND(J26/(1+F40)^F41,0)</f>
        <v>0</v>
      </c>
      <c r="K29" s="382" t="s">
        <v>1476</v>
      </c>
      <c r="L29" s="383"/>
      <c r="M29" s="384">
        <f ca="1">INDIRECT("'数据-取费表'!k"&amp;$G$1)</f>
        <v>48967.92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2360</v>
      </c>
      <c r="D30" s="1334" t="s">
        <v>1421</v>
      </c>
      <c r="E30" s="1335"/>
      <c r="F30" s="1291"/>
      <c r="G30" s="1848"/>
      <c r="H30" s="743"/>
      <c r="I30" s="744"/>
      <c r="J30" s="745"/>
      <c r="K30" s="746"/>
      <c r="L30" s="747"/>
      <c r="M30" s="748"/>
    </row>
    <row r="31" spans="1:37" ht="18" customHeight="1">
      <c r="A31" s="1198" t="s">
        <v>1032</v>
      </c>
      <c r="B31" s="346" t="s">
        <v>1425</v>
      </c>
      <c r="C31" s="24">
        <f ca="1">ROUND(IF(项目基本情况!B11="自然人",C5*F31,C32+C33+C34),1)</f>
        <v>1134</v>
      </c>
      <c r="D31" s="1797" t="s">
        <v>1426</v>
      </c>
      <c r="E31" s="1795" t="s">
        <v>1477</v>
      </c>
      <c r="F31" s="367" t="str">
        <f ca="1">IF(项目基本情况!B11="企业","",IF(INDIRECT("'数据-取费表'!c"&amp;$G$1)="住宅",5%,IF(F6*F7*F8/12/(1+'数据-取费表'!C42)&gt;20000,12%,7%)))</f>
        <v/>
      </c>
      <c r="G31" s="1848"/>
      <c r="H31" s="743"/>
      <c r="I31" s="744"/>
      <c r="J31" s="745"/>
      <c r="K31" s="746"/>
      <c r="L31" s="747"/>
      <c r="M31" s="748"/>
    </row>
    <row r="32" spans="1:37" ht="18" customHeight="1">
      <c r="A32" s="1198" t="s">
        <v>1031</v>
      </c>
      <c r="B32" s="346" t="s">
        <v>1429</v>
      </c>
      <c r="C32" s="24">
        <f ca="1">IF(项目基本情况!B11="自然人","——",ROUND(C5*F32/(1+'数据-取费表'!C42),2))</f>
        <v>625.69000000000005</v>
      </c>
      <c r="D32" s="1795" t="s">
        <v>1430</v>
      </c>
      <c r="E32" s="346" t="s">
        <v>1418</v>
      </c>
      <c r="F32" s="376">
        <f>'数据-取费表'!B41</f>
        <v>5.5000000000000007E-2</v>
      </c>
      <c r="G32" s="1848"/>
      <c r="H32" s="743"/>
      <c r="I32" s="744"/>
      <c r="J32" s="745"/>
      <c r="K32" s="746"/>
      <c r="L32" s="747"/>
      <c r="M32" s="748"/>
    </row>
    <row r="33" spans="1:18" ht="18" customHeight="1">
      <c r="A33" s="1198" t="s">
        <v>1033</v>
      </c>
      <c r="B33" s="346" t="s">
        <v>1433</v>
      </c>
      <c r="C33" s="24">
        <f ca="1">IF(项目基本情况!B11="自然人","——",IF(D33="按租金收入计税",ROUND(C5*F33,2),IF(D33="按房产原值计税",ROUND(C29*F33*0.7,2),INDIRECT("'数据-取费表'!Aj"&amp;$G$1))))</f>
        <v>505.62</v>
      </c>
      <c r="D33" s="1825" t="s">
        <v>3083</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IF(项目基本情况!B11="自然人","——",ROUND(F34*F35/10000,2))</f>
        <v>2.69</v>
      </c>
      <c r="D34" s="369" t="s">
        <v>1438</v>
      </c>
      <c r="E34" s="346" t="s">
        <v>1439</v>
      </c>
      <c r="F34" s="370">
        <f>'数据-取费表'!B52</f>
        <v>3</v>
      </c>
      <c r="G34" s="1848"/>
      <c r="H34" s="743"/>
      <c r="I34" s="1857"/>
      <c r="J34" s="1858"/>
      <c r="K34" s="1860"/>
      <c r="L34" s="1861"/>
      <c r="M34" s="1861"/>
    </row>
    <row r="35" spans="1:18" ht="18" customHeight="1">
      <c r="A35" s="1350"/>
      <c r="B35" s="1348"/>
      <c r="C35" s="29"/>
      <c r="D35" s="372"/>
      <c r="E35" s="346" t="s">
        <v>1443</v>
      </c>
      <c r="F35" s="347">
        <f ca="1">INDIRECT("'数据-取费表'!r"&amp;$G$1)</f>
        <v>8969.4599999999991</v>
      </c>
      <c r="G35" s="1848"/>
      <c r="H35" s="743"/>
      <c r="I35" s="1857"/>
      <c r="J35" s="1858"/>
      <c r="K35" s="1859"/>
      <c r="L35" s="1856"/>
      <c r="M35" s="1856"/>
    </row>
    <row r="36" spans="1:18" ht="18" customHeight="1">
      <c r="A36" s="1349" t="s">
        <v>1036</v>
      </c>
      <c r="B36" s="346" t="s">
        <v>1445</v>
      </c>
      <c r="C36" s="24">
        <f ca="1">ROUND(C29*F36,1)</f>
        <v>902.9</v>
      </c>
      <c r="D36" s="1795" t="s">
        <v>1478</v>
      </c>
      <c r="E36" s="346" t="s">
        <v>1418</v>
      </c>
      <c r="F36" s="373">
        <f ca="1">INDIRECT("'数据-取费表'!Ak"&amp;$G$1)</f>
        <v>1.4999999999999999E-2</v>
      </c>
      <c r="G36" s="1848"/>
      <c r="H36" s="1856"/>
      <c r="I36" s="1857"/>
      <c r="J36" s="1858"/>
      <c r="K36" s="749"/>
      <c r="L36" s="1856"/>
      <c r="M36" s="1856"/>
    </row>
    <row r="37" spans="1:18" ht="18" customHeight="1">
      <c r="A37" s="1198" t="s">
        <v>1072</v>
      </c>
      <c r="B37" s="346" t="s">
        <v>1449</v>
      </c>
      <c r="C37" s="24">
        <f ca="1">ROUND(C13*F37,1)</f>
        <v>84</v>
      </c>
      <c r="D37" s="1795" t="s">
        <v>1450</v>
      </c>
      <c r="E37" s="346" t="s">
        <v>1451</v>
      </c>
      <c r="F37" s="375">
        <f ca="1">INDIRECT("'数据-取费表'!Al"&amp;$G$1)</f>
        <v>1.5E-3</v>
      </c>
      <c r="G37" s="1848"/>
      <c r="H37" s="1856"/>
      <c r="I37" s="1857"/>
      <c r="J37" s="1858"/>
      <c r="K37" s="749"/>
      <c r="L37" s="1856"/>
      <c r="M37" s="1856"/>
    </row>
    <row r="38" spans="1:18" ht="18" customHeight="1" thickBot="1">
      <c r="A38" s="1336" t="s">
        <v>1389</v>
      </c>
      <c r="B38" s="1337" t="s">
        <v>1435</v>
      </c>
      <c r="C38" s="1338">
        <f ca="1">ROUND(C5*F38,1)</f>
        <v>238.9</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9585</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139582</v>
      </c>
      <c r="D40" s="369" t="s">
        <v>1465</v>
      </c>
      <c r="E40" s="346" t="s">
        <v>1466</v>
      </c>
      <c r="F40" s="356">
        <f ca="1">INDIRECT("'数据-取费表'!I"&amp;$G$1)</f>
        <v>7.0000000000000007E-2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24.79</v>
      </c>
      <c r="G41" s="1848"/>
      <c r="H41" s="730"/>
      <c r="I41" s="1857"/>
      <c r="J41" s="1858"/>
      <c r="K41" s="749"/>
      <c r="L41" s="730"/>
      <c r="M41" s="730"/>
    </row>
    <row r="42" spans="1:18" ht="18" customHeight="1">
      <c r="A42" s="352"/>
      <c r="B42" s="353"/>
      <c r="C42" s="354"/>
      <c r="D42" s="372"/>
      <c r="E42" s="346" t="s">
        <v>1473</v>
      </c>
      <c r="F42" s="356">
        <f ca="1">INDIRECT("'数据-取费表'!v"&amp;$G$1)</f>
        <v>2.5000000000000001E-2</v>
      </c>
      <c r="G42" s="1848"/>
      <c r="H42" s="730"/>
      <c r="I42" s="1857"/>
      <c r="J42" s="1858"/>
      <c r="K42" s="749"/>
      <c r="L42" s="730"/>
      <c r="M42" s="730"/>
    </row>
    <row r="43" spans="1:18" ht="18" customHeight="1" thickBot="1">
      <c r="A43" s="379" t="s">
        <v>1030</v>
      </c>
      <c r="B43" s="380" t="s">
        <v>1483</v>
      </c>
      <c r="C43" s="381">
        <f ca="1">ROUND(C40*10000/F43,0)</f>
        <v>28505</v>
      </c>
      <c r="D43" s="382" t="s">
        <v>1484</v>
      </c>
      <c r="E43" s="383" t="s">
        <v>1485</v>
      </c>
      <c r="F43" s="384">
        <f ca="1">INDIRECT("'数据-取费表'!k"&amp;$G$1)</f>
        <v>48967.92</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1515</v>
      </c>
      <c r="P45" s="1836"/>
      <c r="Q45" s="1836"/>
      <c r="R45" s="1836"/>
    </row>
    <row r="46" spans="1:18" s="1839" customFormat="1" ht="13.5" thickBot="1">
      <c r="A46" s="1867" t="s">
        <v>1516</v>
      </c>
      <c r="C46" s="1868">
        <f ca="1">C68-C40</f>
        <v>-156948</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0"/>
      <c r="I47" s="1877" t="s">
        <v>1522</v>
      </c>
      <c r="J47" s="1878" t="s">
        <v>3085</v>
      </c>
      <c r="K47" s="1879" t="s">
        <v>1523</v>
      </c>
      <c r="L47" s="1880">
        <f ca="1">INDIRECT("'数据-取费表'!d"&amp;$G$1)</f>
        <v>40</v>
      </c>
      <c r="M47" s="1835" t="str">
        <f>IF(ISNUMBER(FIND("住宅",C1)),"住宅","非住宅")</f>
        <v>非住宅</v>
      </c>
      <c r="O47" s="1881" t="s">
        <v>1037</v>
      </c>
      <c r="P47" s="1882" t="s">
        <v>1524</v>
      </c>
      <c r="Q47" s="1883">
        <f ca="1">C40+J29</f>
        <v>139582</v>
      </c>
      <c r="R47" s="1883" t="s">
        <v>1525</v>
      </c>
    </row>
    <row r="48" spans="1:18" s="1839" customFormat="1" ht="28.5" thickBot="1">
      <c r="A48" s="1357" t="s">
        <v>1132</v>
      </c>
      <c r="B48" s="344" t="s">
        <v>1397</v>
      </c>
      <c r="C48" s="1814">
        <f ca="1">C49+C53+C55</f>
        <v>0</v>
      </c>
      <c r="D48" s="1359"/>
      <c r="E48" s="1360"/>
      <c r="F48" s="1178"/>
      <c r="G48" s="790"/>
      <c r="H48" s="791"/>
      <c r="I48" s="1884" t="s">
        <v>1526</v>
      </c>
      <c r="J48" s="1885" t="s">
        <v>3086</v>
      </c>
      <c r="K48" s="1886" t="s">
        <v>1527</v>
      </c>
      <c r="L48" s="1887">
        <f ca="1">INDIRECT("'数据-取费表'!f"&amp;$G$1)</f>
        <v>24.79</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3028</v>
      </c>
      <c r="E49" s="1827" t="s">
        <v>1487</v>
      </c>
      <c r="F49" s="1278"/>
      <c r="G49" s="1888"/>
      <c r="H49" s="791"/>
      <c r="I49" s="1884" t="s">
        <v>1530</v>
      </c>
      <c r="J49" s="1889">
        <v>2015</v>
      </c>
      <c r="K49" s="1886" t="s">
        <v>1531</v>
      </c>
      <c r="L49" s="1890"/>
      <c r="O49" s="1891" t="s">
        <v>1039</v>
      </c>
      <c r="P49" s="1882" t="s">
        <v>1532</v>
      </c>
      <c r="Q49" s="1883">
        <f ca="1">C29</f>
        <v>60193</v>
      </c>
      <c r="R49" s="1883" t="s">
        <v>1525</v>
      </c>
    </row>
    <row r="50" spans="1:18" s="1839" customFormat="1" ht="13.5" thickBot="1">
      <c r="A50" s="1192"/>
      <c r="B50" s="1195"/>
      <c r="C50" s="1365"/>
      <c r="D50" s="1169"/>
      <c r="E50" s="1274" t="s">
        <v>1402</v>
      </c>
      <c r="F50" s="1275">
        <f ca="1">F7</f>
        <v>48967.92</v>
      </c>
      <c r="H50" s="791"/>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56</v>
      </c>
      <c r="K51" s="1897" t="s">
        <v>1537</v>
      </c>
      <c r="L51" s="1898">
        <f ca="1">ROUND(-PV(INDIRECT("'数据-取费表'!h"&amp;$G$1),L48,(C39-C13*C76),0),0)</f>
        <v>71663</v>
      </c>
      <c r="M51" s="1899"/>
      <c r="O51" s="1891" t="s">
        <v>1041</v>
      </c>
      <c r="P51" s="1882" t="s">
        <v>1538</v>
      </c>
      <c r="Q51" s="1894">
        <f>J52</f>
        <v>8.5000000000000006E-2</v>
      </c>
      <c r="R51" s="1883"/>
    </row>
    <row r="52" spans="1:18" s="1839" customFormat="1" ht="13.5" thickBot="1">
      <c r="A52" s="1193"/>
      <c r="B52" s="1195"/>
      <c r="C52" s="1196"/>
      <c r="D52" s="1169"/>
      <c r="E52" s="1197" t="s">
        <v>1404</v>
      </c>
      <c r="F52" s="1272"/>
      <c r="I52" s="1900" t="s">
        <v>1539</v>
      </c>
      <c r="J52" s="1901">
        <v>8.5000000000000006E-2</v>
      </c>
      <c r="K52" s="1900" t="s">
        <v>1540</v>
      </c>
      <c r="L52" s="1901"/>
      <c r="O52" s="1891" t="s">
        <v>1042</v>
      </c>
      <c r="P52" s="1882" t="s">
        <v>1541</v>
      </c>
      <c r="Q52" s="1883">
        <f ca="1">J53</f>
        <v>24.79</v>
      </c>
      <c r="R52" s="1883" t="s">
        <v>1542</v>
      </c>
    </row>
    <row r="53" spans="1:18" s="1839" customFormat="1" ht="24.75" thickBot="1">
      <c r="A53" s="1402" t="s">
        <v>1134</v>
      </c>
      <c r="B53" s="1828" t="s">
        <v>1405</v>
      </c>
      <c r="C53" s="360">
        <f ca="1">ROUND(IF(F53="押一",C49/12*F11,IF(F53="押二",C49/12*2*F11,IF(F53="押三",C49/12*3*F11,C54*F11))),0)</f>
        <v>0</v>
      </c>
      <c r="D53" s="1821" t="s">
        <v>3035</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24.79</v>
      </c>
      <c r="K53" s="3229" t="s">
        <v>1544</v>
      </c>
      <c r="L53" s="3230"/>
      <c r="O53" s="1881" t="s">
        <v>1043</v>
      </c>
      <c r="P53" s="1882" t="s">
        <v>1545</v>
      </c>
      <c r="Q53" s="1883">
        <f ca="1">Q47+Q48</f>
        <v>139582</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55979</v>
      </c>
      <c r="D56" s="1911"/>
      <c r="E56" s="1912"/>
      <c r="F56" s="1904"/>
      <c r="I56" s="1913" t="s">
        <v>1550</v>
      </c>
      <c r="J56" s="1914" t="s">
        <v>3059</v>
      </c>
      <c r="K56" s="1884" t="s">
        <v>1551</v>
      </c>
      <c r="L56" s="1887" t="str">
        <f ca="1">IF(L48&lt;J51,"——",L48-J53)</f>
        <v>——</v>
      </c>
      <c r="O56" s="1881" t="s">
        <v>1037</v>
      </c>
      <c r="P56" s="1882" t="s">
        <v>1524</v>
      </c>
      <c r="Q56" s="1883">
        <f ca="1">C40+J29</f>
        <v>139582</v>
      </c>
      <c r="R56" s="1883" t="s">
        <v>1525</v>
      </c>
    </row>
    <row r="57" spans="1:18" s="1839" customFormat="1" ht="24.75" thickBot="1">
      <c r="A57" s="1915"/>
      <c r="B57" s="1166" t="s">
        <v>1474</v>
      </c>
      <c r="C57" s="281">
        <f ca="1">C29</f>
        <v>60193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1495</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508.3</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6">
        <f t="shared" ref="F60:F66" si="0">F32</f>
        <v>5.5000000000000007E-2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505.62</v>
      </c>
      <c r="D61" s="1825" t="s">
        <v>1434</v>
      </c>
      <c r="E61" s="1166" t="s">
        <v>1490</v>
      </c>
      <c r="F61" s="366">
        <f t="shared" si="0"/>
        <v>1.2E-2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2.69</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139582</v>
      </c>
      <c r="R62" s="1883" t="s">
        <v>1044</v>
      </c>
    </row>
    <row r="63" spans="1:18" s="1839" customFormat="1" ht="13.5" thickBot="1">
      <c r="A63" s="371"/>
      <c r="B63" s="1172"/>
      <c r="C63" s="29"/>
      <c r="D63" s="1182"/>
      <c r="E63" s="1166" t="s">
        <v>1495</v>
      </c>
      <c r="F63" s="347">
        <f t="shared" ca="1" si="0"/>
        <v>8969.4599999999991</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902.9</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84</v>
      </c>
      <c r="D65" s="1180" t="s">
        <v>1450</v>
      </c>
      <c r="E65" s="1166" t="s">
        <v>1451</v>
      </c>
      <c r="F65" s="375">
        <f t="shared" ca="1" si="0"/>
        <v>1.5E-3</v>
      </c>
      <c r="I65" s="1926" t="s">
        <v>1575</v>
      </c>
      <c r="J65" s="1927">
        <v>40</v>
      </c>
      <c r="K65" s="1927">
        <v>30</v>
      </c>
      <c r="L65" s="1927">
        <v>50</v>
      </c>
      <c r="M65" s="1929">
        <v>0.02</v>
      </c>
      <c r="O65" s="1881" t="s">
        <v>1037</v>
      </c>
      <c r="P65" s="1882" t="s">
        <v>1576</v>
      </c>
      <c r="Q65" s="1883">
        <f ca="1">C40+J29</f>
        <v>139582</v>
      </c>
      <c r="R65" s="1883" t="s">
        <v>1525</v>
      </c>
    </row>
    <row r="66" spans="1:18" s="1839" customFormat="1" ht="16.5"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-1495</v>
      </c>
      <c r="D67" s="1179" t="s">
        <v>1460</v>
      </c>
      <c r="E67" s="1184"/>
      <c r="F67" s="1185"/>
      <c r="O67" s="1891" t="s">
        <v>1039</v>
      </c>
      <c r="P67" s="1882" t="s">
        <v>1558</v>
      </c>
      <c r="Q67" s="1930">
        <f ca="1">L51</f>
        <v>71663</v>
      </c>
      <c r="R67" s="1883" t="s">
        <v>1578</v>
      </c>
    </row>
    <row r="68" spans="1:18" s="1839" customFormat="1" ht="16.5" thickBot="1">
      <c r="A68" s="1163" t="s">
        <v>1029</v>
      </c>
      <c r="B68" s="1164" t="s">
        <v>1481</v>
      </c>
      <c r="C68" s="345">
        <f ca="1">ROUND(C67*(1-((1+F70)/(1+F68))^F69)/(F68-F70),0)</f>
        <v>-17366</v>
      </c>
      <c r="D68" s="1181" t="s">
        <v>1465</v>
      </c>
      <c r="E68" s="1166" t="s">
        <v>1466</v>
      </c>
      <c r="F68" s="356">
        <f ca="1">F40</f>
        <v>7.0000000000000007E-2</v>
      </c>
      <c r="O68" s="1891" t="s">
        <v>1040</v>
      </c>
      <c r="P68" s="1931" t="s">
        <v>1579</v>
      </c>
      <c r="Q68" s="1883">
        <f ca="1">ROUND(Q69-Q70*Q71,0)</f>
        <v>5107</v>
      </c>
      <c r="R68" s="1883" t="s">
        <v>1048</v>
      </c>
    </row>
    <row r="69" spans="1:18" s="1839" customFormat="1" ht="13.5" thickBot="1">
      <c r="A69" s="1167"/>
      <c r="B69" s="1168"/>
      <c r="C69" s="350"/>
      <c r="D69" s="1186" t="s">
        <v>1469</v>
      </c>
      <c r="E69" s="1166" t="s">
        <v>1470</v>
      </c>
      <c r="F69" s="378">
        <f ca="1">F41</f>
        <v>24.79</v>
      </c>
      <c r="O69" s="1891" t="s">
        <v>1045</v>
      </c>
      <c r="P69" s="1931" t="s">
        <v>1580</v>
      </c>
      <c r="Q69" s="1883">
        <f ca="1">C39</f>
        <v>9585</v>
      </c>
      <c r="R69" s="1883" t="s">
        <v>1525</v>
      </c>
    </row>
    <row r="70" spans="1:18" s="1839" customFormat="1" ht="13.5" thickBot="1">
      <c r="A70" s="1170"/>
      <c r="B70" s="1171"/>
      <c r="C70" s="354"/>
      <c r="D70" s="1182"/>
      <c r="E70" s="1166" t="s">
        <v>1473</v>
      </c>
      <c r="F70" s="1272"/>
      <c r="O70" s="1891" t="s">
        <v>1046</v>
      </c>
      <c r="P70" s="1931" t="s">
        <v>1581</v>
      </c>
      <c r="Q70" s="1883">
        <f ca="1">C13</f>
        <v>55979</v>
      </c>
      <c r="R70" s="1883" t="s">
        <v>1525</v>
      </c>
    </row>
    <row r="71" spans="1:18" s="1839" customFormat="1" ht="13.5" thickBot="1">
      <c r="A71" s="1187" t="s">
        <v>1030</v>
      </c>
      <c r="B71" s="1188" t="s">
        <v>1483</v>
      </c>
      <c r="C71" s="381">
        <f ca="1">ROUND(C68*10000/F71,0)</f>
        <v>-3546</v>
      </c>
      <c r="D71" s="1189" t="s">
        <v>1484</v>
      </c>
      <c r="E71" s="1190" t="s">
        <v>1485</v>
      </c>
      <c r="F71" s="384">
        <f ca="1">F43</f>
        <v>48967.92</v>
      </c>
      <c r="O71" s="1891" t="s">
        <v>1047</v>
      </c>
      <c r="P71" s="1931" t="s">
        <v>1582</v>
      </c>
      <c r="Q71" s="1894">
        <f ca="1">C76</f>
        <v>0.08</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4478</v>
      </c>
      <c r="D75" s="1839"/>
      <c r="E75" s="1839"/>
      <c r="F75" s="1839"/>
      <c r="K75" s="1865"/>
      <c r="L75" s="1839"/>
      <c r="O75" s="1881" t="s">
        <v>1043</v>
      </c>
      <c r="P75" s="1882" t="s">
        <v>1545</v>
      </c>
      <c r="Q75" s="1883">
        <f ca="1">Q65+Q66</f>
        <v>139582</v>
      </c>
      <c r="R75" s="1883" t="s">
        <v>1044</v>
      </c>
    </row>
    <row r="76" spans="1:18">
      <c r="B76" s="387" t="s">
        <v>1503</v>
      </c>
      <c r="C76" s="388">
        <f ca="1">INDIRECT("'数据-取费表'!j"&amp;$G$1)</f>
        <v>0.08</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0.53299999999999992</v>
      </c>
    </row>
    <row r="80" spans="1:18">
      <c r="B80" s="385" t="s">
        <v>1507</v>
      </c>
      <c r="C80" s="317">
        <f ca="1">ROUND(C75/C39,3)</f>
        <v>0.46700000000000003</v>
      </c>
    </row>
    <row r="81" spans="2:3">
      <c r="B81" s="313" t="s">
        <v>1508</v>
      </c>
      <c r="C81" s="281"/>
    </row>
    <row r="82" spans="2:3">
      <c r="B82" s="316" t="s">
        <v>1509</v>
      </c>
      <c r="C82" s="318">
        <f ca="1">1-C83</f>
        <v>0.59899999999999998</v>
      </c>
    </row>
    <row r="83" spans="2:3">
      <c r="B83" s="316" t="s">
        <v>1510</v>
      </c>
      <c r="C83" s="317">
        <f ca="1">ROUND(C13/C40,3)</f>
        <v>0.40100000000000002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0"/>
      <c r="C1" s="1834"/>
      <c r="D1" s="1817"/>
      <c r="E1" s="1818" t="s">
        <v>1383</v>
      </c>
      <c r="F1" s="1280" t="b">
        <f>J53</f>
        <v>0</v>
      </c>
      <c r="G1" s="1833">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2"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231" t="s">
        <v>1399</v>
      </c>
      <c r="C6" s="1293">
        <f ca="1">ROUND(F6*F8*F7*(1-F9),0)</f>
        <v>0</v>
      </c>
      <c r="D6" s="163" t="s">
        <v>3024</v>
      </c>
      <c r="E6" s="346" t="s">
        <v>1401</v>
      </c>
      <c r="F6" s="347">
        <f ca="1">INDIRECT("'数据-取费表'!u"&amp;$G$1)</f>
        <v>0</v>
      </c>
      <c r="G6" s="1848"/>
      <c r="H6" s="1288" t="s">
        <v>1032</v>
      </c>
      <c r="I6" s="3231" t="s">
        <v>1399</v>
      </c>
      <c r="J6" s="345">
        <f ca="1">ROUND(M6*M8*M7*(1-M9),0)</f>
        <v>0</v>
      </c>
      <c r="K6" s="1831" t="s">
        <v>3025</v>
      </c>
      <c r="L6" s="346" t="s">
        <v>1401</v>
      </c>
      <c r="M6" s="347">
        <f ca="1">INDIRECT("'数据-取费表'!z"&amp;$G$1)</f>
        <v>0</v>
      </c>
    </row>
    <row r="7" spans="1:37" ht="18" customHeight="1">
      <c r="A7" s="1292"/>
      <c r="B7" s="3232"/>
      <c r="C7" s="1294"/>
      <c r="D7" s="351"/>
      <c r="E7" s="1295" t="s">
        <v>1402</v>
      </c>
      <c r="F7" s="347">
        <f ca="1">IF(INDIRECT("'数据-取费表'!ah"&amp;$G$1)="",INDIRECT("'数据-取费表'!k"&amp;$G$1),INDIRECT("'数据-取费表'!ah"&amp;$G$1))</f>
        <v>0</v>
      </c>
      <c r="G7" s="1848"/>
      <c r="H7" s="348"/>
      <c r="I7" s="3232"/>
      <c r="J7" s="350"/>
      <c r="K7" s="351"/>
      <c r="L7" s="346" t="s">
        <v>1402</v>
      </c>
      <c r="M7" s="347">
        <f ca="1">F7</f>
        <v>0</v>
      </c>
    </row>
    <row r="8" spans="1:37" ht="18" customHeight="1">
      <c r="A8" s="348"/>
      <c r="B8" s="3232"/>
      <c r="C8" s="350"/>
      <c r="D8" s="351"/>
      <c r="E8" s="346" t="s">
        <v>1403</v>
      </c>
      <c r="F8" s="347">
        <f ca="1">INDIRECT("'数据-取费表'!ai"&amp;$G$1)</f>
        <v>0</v>
      </c>
      <c r="G8" s="1848"/>
      <c r="H8" s="348"/>
      <c r="I8" s="3232"/>
      <c r="J8" s="350"/>
      <c r="K8" s="351"/>
      <c r="L8" s="346" t="s">
        <v>1403</v>
      </c>
      <c r="M8" s="347">
        <f ca="1">INDIRECT("'数据-取费表'!ai"&amp;$G$1)</f>
        <v>0</v>
      </c>
    </row>
    <row r="9" spans="1:37" ht="18" customHeight="1">
      <c r="A9" s="348"/>
      <c r="B9" s="3233"/>
      <c r="C9" s="350"/>
      <c r="D9" s="351"/>
      <c r="E9" s="346" t="s">
        <v>1404</v>
      </c>
      <c r="F9" s="356">
        <f ca="1">INDIRECT("'数据-取费表'!w"&amp;$G$1)</f>
        <v>0</v>
      </c>
      <c r="G9" s="1848"/>
      <c r="H9" s="348"/>
      <c r="I9" s="3233"/>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3035</v>
      </c>
      <c r="E10" s="357" t="s">
        <v>1406</v>
      </c>
      <c r="F10" s="1363"/>
      <c r="G10" s="1848"/>
      <c r="H10" s="1288" t="s">
        <v>1036</v>
      </c>
      <c r="I10" s="1820" t="s">
        <v>1405</v>
      </c>
      <c r="J10" s="345">
        <f ca="1">ROUND(IF(M10="押一",J6/12*M11,IF(M10="押二",J6/12*2*M11,IF(M10="押三",J6/12*3*M11,J11*M11))),0)</f>
        <v>0</v>
      </c>
      <c r="K10" s="1832" t="s">
        <v>3037</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6"/>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5.2400000000000002E-2</v>
      </c>
      <c r="D28" s="368" t="s">
        <v>1472</v>
      </c>
      <c r="E28" s="346" t="s">
        <v>1418</v>
      </c>
      <c r="F28" s="366">
        <f>'数据-取费表'!B41</f>
        <v>5.5000000000000007E-2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3"/>
      <c r="I30" s="744"/>
      <c r="J30" s="745"/>
      <c r="K30" s="746"/>
      <c r="L30" s="747"/>
      <c r="M30" s="748"/>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3"/>
      <c r="I31" s="744"/>
      <c r="J31" s="745"/>
      <c r="K31" s="746"/>
      <c r="L31" s="747"/>
      <c r="M31" s="748"/>
    </row>
    <row r="32" spans="1:37" ht="18" customHeight="1">
      <c r="A32" s="1198" t="s">
        <v>1031</v>
      </c>
      <c r="B32" s="346" t="s">
        <v>1429</v>
      </c>
      <c r="C32" s="24">
        <f ca="1">IF(项目基本情况!B11="自然人","——",ROUND(C5*F32/(1+'数据-取费表'!C42),0))</f>
        <v>0</v>
      </c>
      <c r="D32" s="1795" t="s">
        <v>1430</v>
      </c>
      <c r="E32" s="346" t="s">
        <v>1418</v>
      </c>
      <c r="F32" s="376">
        <f>'数据-取费表'!B41</f>
        <v>5.5000000000000007E-2</v>
      </c>
      <c r="G32" s="1848"/>
      <c r="H32" s="743"/>
      <c r="I32" s="744"/>
      <c r="J32" s="745"/>
      <c r="K32" s="746"/>
      <c r="L32" s="747"/>
      <c r="M32" s="748"/>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3"/>
      <c r="I34" s="1857"/>
      <c r="J34" s="1858"/>
      <c r="K34" s="1860"/>
      <c r="L34" s="1861"/>
      <c r="M34" s="1861"/>
    </row>
    <row r="35" spans="1:18" ht="18" customHeight="1">
      <c r="A35" s="1350"/>
      <c r="B35" s="1348"/>
      <c r="C35" s="29"/>
      <c r="D35" s="372"/>
      <c r="E35" s="346" t="s">
        <v>1443</v>
      </c>
      <c r="F35" s="347">
        <f ca="1">INDIRECT("'数据-取费表'!r"&amp;$G$1)</f>
        <v>0</v>
      </c>
      <c r="G35" s="1848"/>
      <c r="H35" s="743"/>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9"/>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9"/>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30"/>
      <c r="I41" s="1857"/>
      <c r="J41" s="1858"/>
      <c r="K41" s="749"/>
      <c r="L41" s="730"/>
      <c r="M41" s="730"/>
    </row>
    <row r="42" spans="1:18" ht="18" customHeight="1">
      <c r="A42" s="352"/>
      <c r="B42" s="353"/>
      <c r="C42" s="354"/>
      <c r="D42" s="372"/>
      <c r="E42" s="346" t="s">
        <v>1473</v>
      </c>
      <c r="F42" s="356">
        <f ca="1">INDIRECT("'数据-取费表'!v"&amp;$G$1)</f>
        <v>0</v>
      </c>
      <c r="G42" s="1848"/>
      <c r="H42" s="730"/>
      <c r="I42" s="1857"/>
      <c r="J42" s="1858"/>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0"/>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4" t="s">
        <v>1397</v>
      </c>
      <c r="C48" s="1814">
        <f ca="1">C49+C53+C55</f>
        <v>0</v>
      </c>
      <c r="D48" s="1359"/>
      <c r="E48" s="1360"/>
      <c r="F48" s="1178"/>
      <c r="G48" s="790"/>
      <c r="H48" s="791"/>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1"/>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1"/>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3038</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29" t="s">
        <v>1544</v>
      </c>
      <c r="L53" s="3230"/>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6">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16.5"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5" thickBot="1">
      <c r="A69" s="1167"/>
      <c r="B69" s="1168"/>
      <c r="C69" s="350"/>
      <c r="D69" s="1186" t="s">
        <v>1469</v>
      </c>
      <c r="E69" s="1166" t="s">
        <v>1470</v>
      </c>
      <c r="F69" s="378">
        <f ca="1">F41</f>
        <v>0</v>
      </c>
      <c r="O69" s="1891" t="s">
        <v>1045</v>
      </c>
      <c r="P69" s="1931" t="s">
        <v>1580</v>
      </c>
      <c r="Q69" s="1883">
        <f ca="1">C39</f>
        <v>0</v>
      </c>
      <c r="R69" s="1883" t="s">
        <v>1525</v>
      </c>
    </row>
    <row r="70" spans="1:18" s="1839" customFormat="1" ht="13.5" thickBot="1">
      <c r="A70" s="1170"/>
      <c r="B70" s="1171"/>
      <c r="C70" s="354"/>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2524</v>
      </c>
      <c r="B1" s="2559"/>
      <c r="C1" s="2559"/>
      <c r="D1" s="2559"/>
      <c r="E1" s="2560"/>
    </row>
    <row r="2" spans="1:6" ht="15.75">
      <c r="A2" s="2561" t="s">
        <v>2325</v>
      </c>
      <c r="B2" s="2562">
        <f ca="1">SUMIF(B6:B13,"&lt;&gt;#ref!",B6:B13)</f>
        <v>139582</v>
      </c>
      <c r="C2" s="2563" t="s">
        <v>2517</v>
      </c>
      <c r="D2" s="2564" t="s">
        <v>2518</v>
      </c>
      <c r="E2" s="2565">
        <f>SUM(E6:E13)</f>
        <v>48967.92</v>
      </c>
    </row>
    <row r="3" spans="1:6" ht="15.75">
      <c r="A3" s="2561" t="s">
        <v>1391</v>
      </c>
      <c r="B3" s="2562">
        <f ca="1">ROUND(B2*10000/E2,0)</f>
        <v>28505</v>
      </c>
      <c r="C3" s="2563" t="s">
        <v>2525</v>
      </c>
      <c r="D3" s="2566"/>
      <c r="E3" s="2567"/>
    </row>
    <row r="4" spans="1:6" ht="15.75">
      <c r="A4" s="2568"/>
      <c r="B4" s="2566"/>
      <c r="C4" s="2566"/>
      <c r="D4" s="2566"/>
      <c r="E4" s="2567"/>
    </row>
    <row r="5" spans="1:6" ht="15">
      <c r="A5" s="2569" t="s">
        <v>2519</v>
      </c>
      <c r="B5" s="3234" t="s">
        <v>2520</v>
      </c>
      <c r="C5" s="3234"/>
      <c r="D5" s="2570"/>
      <c r="E5" s="2571" t="s">
        <v>2521</v>
      </c>
      <c r="F5" s="2572" t="s">
        <v>2522</v>
      </c>
    </row>
    <row r="6" spans="1:6">
      <c r="A6" s="2573" t="str">
        <f>'数据-取费表'!AN6</f>
        <v>收益法</v>
      </c>
      <c r="B6" s="2572">
        <f ca="1">IF(F6="是",'数据-取费表'!AO6,0)</f>
        <v>139582</v>
      </c>
      <c r="C6" s="2563" t="s">
        <v>2517</v>
      </c>
      <c r="D6" s="2566"/>
      <c r="E6" s="2574">
        <f>IF(OR(A6=0,F6="否"),0,'数据-取费表'!K6+'数据-取费表'!S6)</f>
        <v>48967.92</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41" sqref="J41"/>
    </sheetView>
  </sheetViews>
  <sheetFormatPr defaultRowHeight="13.5"/>
  <cols>
    <col min="1" max="1" width="10.5" customWidth="1"/>
    <col min="2" max="2" width="12.875" customWidth="1"/>
    <col min="3" max="3" width="8.75" customWidth="1"/>
  </cols>
  <sheetData>
    <row r="1" spans="1:9" ht="14.25">
      <c r="A1" s="3251" t="s">
        <v>1073</v>
      </c>
      <c r="B1" s="3252"/>
      <c r="C1" s="3253"/>
      <c r="D1" s="3314">
        <f>SUM(I10,I15,I20,I21,I23)</f>
        <v>19909</v>
      </c>
      <c r="E1" s="3314"/>
      <c r="F1" s="3314"/>
      <c r="G1" s="3314"/>
      <c r="H1" s="3314"/>
      <c r="I1" s="3315"/>
    </row>
    <row r="2" spans="1:9">
      <c r="A2" s="3241" t="s">
        <v>1074</v>
      </c>
      <c r="B2" s="3242" t="s">
        <v>1075</v>
      </c>
      <c r="C2" s="3242"/>
      <c r="D2" s="1298" t="s">
        <v>1076</v>
      </c>
      <c r="E2" s="1298" t="s">
        <v>1077</v>
      </c>
      <c r="F2" s="1298" t="s">
        <v>1078</v>
      </c>
      <c r="G2" s="1298" t="s">
        <v>1079</v>
      </c>
      <c r="H2" s="1298" t="s">
        <v>1080</v>
      </c>
      <c r="I2" s="1299" t="s">
        <v>1081</v>
      </c>
    </row>
    <row r="3" spans="1:9">
      <c r="A3" s="3241"/>
      <c r="B3" s="3242" t="s">
        <v>1082</v>
      </c>
      <c r="C3" s="3242"/>
      <c r="D3" s="1300"/>
      <c r="E3" s="1298"/>
      <c r="F3" s="1301"/>
      <c r="G3" s="1301"/>
      <c r="H3" s="1302"/>
      <c r="I3" s="1303">
        <f>ROUND(D3*E3*F3*G3*H3/10000,0)</f>
        <v>0</v>
      </c>
    </row>
    <row r="4" spans="1:9">
      <c r="A4" s="3241"/>
      <c r="B4" s="3242" t="s">
        <v>1083</v>
      </c>
      <c r="C4" s="3242"/>
      <c r="D4" s="1300">
        <v>52</v>
      </c>
      <c r="E4" s="1298">
        <v>3500</v>
      </c>
      <c r="F4" s="1301">
        <v>0.85</v>
      </c>
      <c r="G4" s="1301">
        <v>0.8</v>
      </c>
      <c r="H4" s="1302">
        <v>365</v>
      </c>
      <c r="I4" s="1303">
        <f>ROUND(D4*E4*F4*G4*H4/10000,0)</f>
        <v>4517</v>
      </c>
    </row>
    <row r="5" spans="1:9">
      <c r="A5" s="3241"/>
      <c r="B5" s="3242" t="s">
        <v>1084</v>
      </c>
      <c r="C5" s="3242"/>
      <c r="D5" s="1300"/>
      <c r="E5" s="1298"/>
      <c r="F5" s="1301"/>
      <c r="G5" s="1301"/>
      <c r="H5" s="1302"/>
      <c r="I5" s="1303">
        <f t="shared" ref="I4:I6" si="0">ROUND(D5*E5*F5*G5*H5/10000,0)</f>
        <v>0</v>
      </c>
    </row>
    <row r="6" spans="1:9">
      <c r="A6" s="3241"/>
      <c r="B6" s="3242" t="s">
        <v>1085</v>
      </c>
      <c r="C6" s="3242"/>
      <c r="D6" s="1300">
        <v>311</v>
      </c>
      <c r="E6" s="1298">
        <v>1300</v>
      </c>
      <c r="F6" s="1301">
        <v>0.85</v>
      </c>
      <c r="G6" s="1301">
        <v>0.8</v>
      </c>
      <c r="H6" s="1302">
        <v>365</v>
      </c>
      <c r="I6" s="1303">
        <f>ROUND(D6*E6*F6*G6*H6/10000,0)</f>
        <v>10035</v>
      </c>
    </row>
    <row r="7" spans="1:9">
      <c r="A7" s="3241"/>
      <c r="B7" s="3242" t="s">
        <v>1086</v>
      </c>
      <c r="C7" s="3242"/>
      <c r="D7" s="1300"/>
      <c r="E7" s="1298"/>
      <c r="F7" s="1301"/>
      <c r="G7" s="1301"/>
      <c r="H7" s="1302"/>
      <c r="I7" s="1303">
        <f t="shared" ref="I7:I9" si="1">ROUND(D7*E7*F7*G7*H7/10000,0)</f>
        <v>0</v>
      </c>
    </row>
    <row r="8" spans="1:9">
      <c r="A8" s="3241"/>
      <c r="B8" s="3242" t="s">
        <v>1087</v>
      </c>
      <c r="C8" s="3242"/>
      <c r="D8" s="1300"/>
      <c r="E8" s="1298"/>
      <c r="F8" s="1301"/>
      <c r="G8" s="1301"/>
      <c r="H8" s="1302"/>
      <c r="I8" s="1303">
        <f t="shared" si="1"/>
        <v>0</v>
      </c>
    </row>
    <row r="9" spans="1:9">
      <c r="A9" s="3241"/>
      <c r="B9" s="3242" t="s">
        <v>1088</v>
      </c>
      <c r="C9" s="3242"/>
      <c r="D9" s="1300"/>
      <c r="E9" s="1298"/>
      <c r="F9" s="1301"/>
      <c r="G9" s="1301"/>
      <c r="H9" s="1302"/>
      <c r="I9" s="1303">
        <f t="shared" si="1"/>
        <v>0</v>
      </c>
    </row>
    <row r="10" spans="1:9">
      <c r="A10" s="3241"/>
      <c r="B10" s="3243" t="s">
        <v>1089</v>
      </c>
      <c r="C10" s="3243"/>
      <c r="D10" s="1304"/>
      <c r="E10" s="1304" t="e">
        <f>ROUND(D1*10000/D10/H9,0)</f>
        <v>#DIV/0!</v>
      </c>
      <c r="F10" s="1305"/>
      <c r="G10" s="1305"/>
      <c r="H10" s="1306"/>
      <c r="I10" s="1307">
        <f>I4+I6</f>
        <v>14552</v>
      </c>
    </row>
    <row r="11" spans="1:9" ht="14.25">
      <c r="A11" s="3241" t="s">
        <v>1090</v>
      </c>
      <c r="B11" s="3242" t="s">
        <v>1091</v>
      </c>
      <c r="C11" s="3242"/>
      <c r="D11" s="1300" t="s">
        <v>1092</v>
      </c>
      <c r="E11" s="1300" t="s">
        <v>1093</v>
      </c>
      <c r="F11" s="1301" t="s">
        <v>1094</v>
      </c>
      <c r="G11" s="1301" t="s">
        <v>1080</v>
      </c>
      <c r="H11" s="1308" t="s">
        <v>1095</v>
      </c>
      <c r="I11" s="1299" t="s">
        <v>1081</v>
      </c>
    </row>
    <row r="12" spans="1:9">
      <c r="A12" s="3241"/>
      <c r="B12" s="3242" t="s">
        <v>1096</v>
      </c>
      <c r="C12" s="3242"/>
      <c r="D12" s="1300"/>
      <c r="E12" s="1300"/>
      <c r="F12" s="1301"/>
      <c r="G12" s="1302"/>
      <c r="H12" s="1309"/>
      <c r="I12" s="1299">
        <f>ROUND(D12*E12*F12*G12/10000,0)</f>
        <v>0</v>
      </c>
    </row>
    <row r="13" spans="1:9">
      <c r="A13" s="3241"/>
      <c r="B13" s="3242" t="s">
        <v>1097</v>
      </c>
      <c r="C13" s="3242"/>
      <c r="D13" s="1300"/>
      <c r="E13" s="1300"/>
      <c r="F13" s="1301"/>
      <c r="G13" s="1302"/>
      <c r="H13" s="1309"/>
      <c r="I13" s="1299">
        <f>ROUND(D13*E13*F13*G13/10000,0)</f>
        <v>0</v>
      </c>
    </row>
    <row r="14" spans="1:9">
      <c r="A14" s="3241"/>
      <c r="B14" s="3242" t="s">
        <v>1098</v>
      </c>
      <c r="C14" s="3242"/>
      <c r="D14" s="1300"/>
      <c r="E14" s="1300"/>
      <c r="F14" s="1301"/>
      <c r="G14" s="1302"/>
      <c r="H14" s="1309"/>
      <c r="I14" s="1299">
        <f>ROUND(D14*E14*F14*G14/10000,0)</f>
        <v>0</v>
      </c>
    </row>
    <row r="15" spans="1:9">
      <c r="A15" s="3241"/>
      <c r="B15" s="3243" t="s">
        <v>1089</v>
      </c>
      <c r="C15" s="3243"/>
      <c r="D15" s="1304"/>
      <c r="E15" s="1304">
        <f>SUM(E12:E14)</f>
        <v>0</v>
      </c>
      <c r="F15" s="1305"/>
      <c r="G15" s="1302"/>
      <c r="H15" s="1309"/>
      <c r="I15" s="1310">
        <f>Sheet1!B8</f>
        <v>3590</v>
      </c>
    </row>
    <row r="16" spans="1:9" ht="24">
      <c r="A16" s="3241" t="s">
        <v>1099</v>
      </c>
      <c r="B16" s="3242" t="s">
        <v>1100</v>
      </c>
      <c r="C16" s="3242"/>
      <c r="D16" s="1300" t="s">
        <v>1076</v>
      </c>
      <c r="E16" s="1311" t="s">
        <v>1101</v>
      </c>
      <c r="F16" s="1301" t="s">
        <v>1102</v>
      </c>
      <c r="G16" s="1302" t="s">
        <v>1080</v>
      </c>
      <c r="H16" s="1308" t="s">
        <v>1095</v>
      </c>
      <c r="I16" s="1299" t="s">
        <v>1081</v>
      </c>
    </row>
    <row r="17" spans="1:9" ht="14.25">
      <c r="A17" s="3241"/>
      <c r="B17" s="3242" t="s">
        <v>1103</v>
      </c>
      <c r="C17" s="3242"/>
      <c r="D17" s="1300"/>
      <c r="E17" s="1300"/>
      <c r="F17" s="1301"/>
      <c r="G17" s="1302"/>
      <c r="H17" s="1312"/>
      <c r="I17" s="1313">
        <f>ROUND(D17*E17*F17*G17/10000,0)</f>
        <v>0</v>
      </c>
    </row>
    <row r="18" spans="1:9" ht="14.25">
      <c r="A18" s="3241"/>
      <c r="B18" s="3242" t="s">
        <v>1104</v>
      </c>
      <c r="C18" s="3242"/>
      <c r="D18" s="1300"/>
      <c r="E18" s="1300"/>
      <c r="F18" s="1301"/>
      <c r="G18" s="1302"/>
      <c r="H18" s="1312"/>
      <c r="I18" s="1313">
        <f>ROUND(D18*E18*F18*G18/10000,0)</f>
        <v>0</v>
      </c>
    </row>
    <row r="19" spans="1:9" ht="14.25">
      <c r="A19" s="3241"/>
      <c r="B19" s="3242" t="s">
        <v>1105</v>
      </c>
      <c r="C19" s="3242"/>
      <c r="D19" s="1300"/>
      <c r="E19" s="1300"/>
      <c r="F19" s="1301"/>
      <c r="G19" s="1302"/>
      <c r="H19" s="1312"/>
      <c r="I19" s="1313">
        <f>ROUND(D19*E19*F19*G19/10000,0)</f>
        <v>0</v>
      </c>
    </row>
    <row r="20" spans="1:9">
      <c r="A20" s="3241"/>
      <c r="B20" s="3243" t="s">
        <v>1089</v>
      </c>
      <c r="C20" s="3243"/>
      <c r="D20" s="1304">
        <f>SUM(D17:D19)</f>
        <v>0</v>
      </c>
      <c r="E20" s="1304"/>
      <c r="F20" s="1305"/>
      <c r="G20" s="1302"/>
      <c r="H20" s="1309"/>
      <c r="I20" s="1310">
        <f>Sheet1!B9</f>
        <v>312</v>
      </c>
    </row>
    <row r="21" spans="1:9">
      <c r="A21" s="3241" t="s">
        <v>1106</v>
      </c>
      <c r="B21" s="3244"/>
      <c r="C21" s="3244"/>
      <c r="D21" s="3244"/>
      <c r="E21" s="3244"/>
      <c r="F21" s="3244"/>
      <c r="G21" s="3244"/>
      <c r="H21" s="1762">
        <v>0.1</v>
      </c>
      <c r="I21" s="1307">
        <f>ROUND(I10*H21,0)</f>
        <v>1455</v>
      </c>
    </row>
    <row r="22" spans="1:9" ht="14.25">
      <c r="A22" s="3245" t="s">
        <v>1107</v>
      </c>
      <c r="B22" s="3246"/>
      <c r="C22" s="3247"/>
      <c r="D22" s="1314" t="s">
        <v>1108</v>
      </c>
      <c r="E22" s="1314" t="s">
        <v>1109</v>
      </c>
      <c r="F22" s="1315" t="s">
        <v>1110</v>
      </c>
      <c r="G22" s="1315" t="s">
        <v>1111</v>
      </c>
      <c r="H22" s="1308" t="s">
        <v>1112</v>
      </c>
      <c r="I22" s="1299" t="s">
        <v>1113</v>
      </c>
    </row>
    <row r="23" spans="1:9" ht="14.25" thickBot="1">
      <c r="A23" s="3248"/>
      <c r="B23" s="3249"/>
      <c r="C23" s="3250"/>
      <c r="D23" s="1316"/>
      <c r="E23" s="1316"/>
      <c r="F23" s="1316"/>
      <c r="G23" s="1317"/>
      <c r="H23" s="1318"/>
      <c r="I23" s="1319">
        <f>ROUND(E23*D23*F23*(1-G23)/10000,0)</f>
        <v>0</v>
      </c>
    </row>
    <row r="26" spans="1:9">
      <c r="A26" s="1320" t="s">
        <v>1114</v>
      </c>
      <c r="B26" s="1320"/>
      <c r="C26" s="1320"/>
      <c r="D26" s="1320"/>
      <c r="E26" s="3238">
        <f>C27-C30-C31-C32</f>
        <v>11945.4</v>
      </c>
      <c r="F26" s="3238"/>
      <c r="G26" s="3238"/>
      <c r="H26" s="1734" t="s">
        <v>1336</v>
      </c>
    </row>
    <row r="27" spans="1:9">
      <c r="A27" s="1321">
        <v>1</v>
      </c>
      <c r="B27" s="1322" t="s">
        <v>1115</v>
      </c>
      <c r="C27" s="1322">
        <f>C28+C29</f>
        <v>19909</v>
      </c>
      <c r="D27" s="1322"/>
      <c r="E27" s="3239"/>
      <c r="F27" s="3239"/>
      <c r="G27" s="3239"/>
    </row>
    <row r="28" spans="1:9">
      <c r="A28" s="1323" t="s">
        <v>1116</v>
      </c>
      <c r="B28" s="1322" t="s">
        <v>1117</v>
      </c>
      <c r="C28" s="1322">
        <f>I10</f>
        <v>14552</v>
      </c>
      <c r="D28" s="1322"/>
      <c r="E28" s="3239"/>
      <c r="F28" s="3239"/>
      <c r="G28" s="3239"/>
    </row>
    <row r="29" spans="1:9">
      <c r="A29" s="1323" t="s">
        <v>1118</v>
      </c>
      <c r="B29" s="1322" t="s">
        <v>1119</v>
      </c>
      <c r="C29" s="1322">
        <f>I15+I20+I21</f>
        <v>5357</v>
      </c>
      <c r="D29" s="1322"/>
      <c r="E29" s="1322" t="s">
        <v>1120</v>
      </c>
      <c r="F29" s="1322"/>
      <c r="G29" s="1322"/>
    </row>
    <row r="30" spans="1:9">
      <c r="A30" s="1321">
        <v>2</v>
      </c>
      <c r="B30" s="1322" t="s">
        <v>1121</v>
      </c>
      <c r="C30" s="1322">
        <f>C27*D30</f>
        <v>3981.8</v>
      </c>
      <c r="D30" s="1324">
        <v>0.2</v>
      </c>
      <c r="E30" s="1322" t="s">
        <v>1122</v>
      </c>
      <c r="F30" s="1322"/>
      <c r="G30" s="1322"/>
    </row>
    <row r="31" spans="1:9">
      <c r="A31" s="1321">
        <v>3</v>
      </c>
      <c r="B31" s="1322" t="s">
        <v>1123</v>
      </c>
      <c r="C31" s="1322">
        <f>C27*D31</f>
        <v>2986.35</v>
      </c>
      <c r="D31" s="1324">
        <v>0.15</v>
      </c>
      <c r="E31" s="1322" t="s">
        <v>1124</v>
      </c>
      <c r="F31" s="1322"/>
      <c r="G31" s="1322"/>
    </row>
    <row r="32" spans="1:9">
      <c r="A32" s="1321">
        <v>4</v>
      </c>
      <c r="B32" s="1322" t="s">
        <v>1125</v>
      </c>
      <c r="C32" s="1322">
        <f>C27*D32</f>
        <v>995.45</v>
      </c>
      <c r="D32" s="3313">
        <v>0.05</v>
      </c>
      <c r="E32" s="3240"/>
      <c r="F32" s="3240"/>
      <c r="G32" s="3240"/>
    </row>
    <row r="33" spans="1:7" hidden="1">
      <c r="A33" s="3235" t="s">
        <v>1126</v>
      </c>
      <c r="B33" s="3236"/>
      <c r="C33" s="3236"/>
      <c r="D33" s="3237"/>
      <c r="E33" s="3238"/>
      <c r="F33" s="3238"/>
      <c r="G33" s="3238"/>
    </row>
    <row r="34" spans="1:7" hidden="1">
      <c r="A34" s="1325">
        <v>1</v>
      </c>
      <c r="B34" s="1322" t="s">
        <v>1127</v>
      </c>
      <c r="C34" s="1322"/>
      <c r="D34" s="1322"/>
      <c r="E34" s="3239"/>
      <c r="F34" s="3239"/>
      <c r="G34" s="3239"/>
    </row>
    <row r="35" spans="1:7" hidden="1">
      <c r="A35" s="1325">
        <v>2</v>
      </c>
      <c r="B35" s="1322" t="s">
        <v>1128</v>
      </c>
      <c r="C35" s="1322"/>
      <c r="D35" s="1322"/>
      <c r="E35" s="3239"/>
      <c r="F35" s="3239"/>
      <c r="G35" s="3239"/>
    </row>
    <row r="36" spans="1:7" hidden="1">
      <c r="A36" s="1325">
        <v>3</v>
      </c>
      <c r="B36" s="1322" t="s">
        <v>1129</v>
      </c>
      <c r="C36" s="1322"/>
      <c r="D36" s="1322"/>
      <c r="E36" s="3239"/>
      <c r="F36" s="3239"/>
      <c r="G36" s="3239"/>
    </row>
    <row r="37" spans="1:7" hidden="1">
      <c r="A37" s="1325">
        <v>4</v>
      </c>
      <c r="B37" s="1322" t="s">
        <v>1130</v>
      </c>
      <c r="C37" s="1322"/>
      <c r="D37" s="1322"/>
      <c r="E37" s="3239"/>
      <c r="F37" s="3239"/>
      <c r="G37" s="3239"/>
    </row>
    <row r="38" spans="1:7" hidden="1">
      <c r="A38" s="3235" t="s">
        <v>1131</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9" t="s">
        <v>2527</v>
      </c>
      <c r="C1" s="1631" t="s">
        <v>2528</v>
      </c>
      <c r="D1" s="1618"/>
      <c r="E1" s="2580"/>
      <c r="F1" s="2581" t="s">
        <v>2529</v>
      </c>
      <c r="G1" s="1628" t="s">
        <v>2530</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83"/>
      <c r="D2" s="1362" t="e">
        <f ca="1">SUMIF(INDIRECT("'"&amp;F2&amp;"'"&amp;"!A:A"),"承租人权益价值",INDIRECT("'"&amp;F2&amp;"'"&amp;"!c:c"))</f>
        <v>#REF!</v>
      </c>
      <c r="E2" s="2584" t="s">
        <v>2531</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1391</v>
      </c>
      <c r="B3" s="398" t="e">
        <f ca="1">IF(C2="——",C49,ROUND(B2*10000/D3,0))</f>
        <v>#DIV/0!</v>
      </c>
      <c r="C3" s="399" t="s">
        <v>2532</v>
      </c>
      <c r="D3" s="398">
        <f>IF(D1="",'数据-汇总表'!E3,SUMIF('数据-汇总表'!$C19:$C33,D1,'数据-汇总表'!$E19:$E33))</f>
        <v>48967.92</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0" t="s">
        <v>2533</v>
      </c>
      <c r="B4" s="401"/>
      <c r="C4" s="3167" t="s">
        <v>2534</v>
      </c>
      <c r="D4" s="3180"/>
      <c r="E4" s="3181" t="s">
        <v>2535</v>
      </c>
      <c r="F4" s="3182"/>
      <c r="G4" s="3167" t="s">
        <v>2536</v>
      </c>
      <c r="H4" s="3180"/>
      <c r="I4" s="3167" t="s">
        <v>2537</v>
      </c>
      <c r="J4" s="3180"/>
      <c r="K4" s="2593" t="s">
        <v>2538</v>
      </c>
      <c r="L4" s="1127"/>
      <c r="M4" s="1128"/>
      <c r="N4" s="1128"/>
      <c r="O4" s="1128"/>
      <c r="P4" s="3183" t="s">
        <v>2539</v>
      </c>
      <c r="Q4" s="3184"/>
      <c r="R4" s="3189" t="s">
        <v>2535</v>
      </c>
      <c r="S4" s="3190"/>
      <c r="T4" s="3189" t="s">
        <v>2536</v>
      </c>
      <c r="U4" s="3190"/>
      <c r="V4" s="3176" t="s">
        <v>2537</v>
      </c>
      <c r="W4" s="3176"/>
      <c r="X4" s="1810"/>
      <c r="Y4" s="3189" t="s">
        <v>2539</v>
      </c>
      <c r="Z4" s="3190"/>
      <c r="AA4" s="3177" t="s">
        <v>2535</v>
      </c>
      <c r="AB4" s="3177" t="s">
        <v>2536</v>
      </c>
      <c r="AC4" s="3177" t="s">
        <v>2537</v>
      </c>
    </row>
    <row r="5" spans="1:29" ht="15">
      <c r="A5" s="403"/>
      <c r="B5" s="404"/>
      <c r="C5" s="3197" t="s">
        <v>2540</v>
      </c>
      <c r="D5" s="3198"/>
      <c r="E5" s="3204" t="s">
        <v>2541</v>
      </c>
      <c r="F5" s="3205"/>
      <c r="G5" s="3197" t="s">
        <v>2542</v>
      </c>
      <c r="H5" s="3198"/>
      <c r="I5" s="3197" t="s">
        <v>2543</v>
      </c>
      <c r="J5" s="3198"/>
      <c r="K5" s="2594"/>
      <c r="L5" s="1127"/>
      <c r="M5" s="1128"/>
      <c r="N5" s="1128"/>
      <c r="O5" s="1128"/>
      <c r="P5" s="3185"/>
      <c r="Q5" s="3186"/>
      <c r="R5" s="3191"/>
      <c r="S5" s="3192"/>
      <c r="T5" s="3191"/>
      <c r="U5" s="3192"/>
      <c r="V5" s="3176"/>
      <c r="W5" s="3176"/>
      <c r="X5" s="1810"/>
      <c r="Y5" s="3191"/>
      <c r="Z5" s="3192"/>
      <c r="AA5" s="3178"/>
      <c r="AB5" s="3178"/>
      <c r="AC5" s="3178"/>
    </row>
    <row r="6" spans="1:29" ht="15.75" thickBot="1">
      <c r="A6" s="405"/>
      <c r="B6" s="406"/>
      <c r="C6" s="3195" t="s">
        <v>2544</v>
      </c>
      <c r="D6" s="3196"/>
      <c r="E6" s="3202" t="s">
        <v>2544</v>
      </c>
      <c r="F6" s="3203"/>
      <c r="G6" s="3195" t="s">
        <v>2544</v>
      </c>
      <c r="H6" s="3196"/>
      <c r="I6" s="3195" t="s">
        <v>2544</v>
      </c>
      <c r="J6" s="3196"/>
      <c r="K6" s="2594" t="s">
        <v>2545</v>
      </c>
      <c r="L6" s="1127"/>
      <c r="M6" s="1128"/>
      <c r="N6" s="1128"/>
      <c r="O6" s="1128"/>
      <c r="P6" s="3187"/>
      <c r="Q6" s="3188"/>
      <c r="R6" s="3191"/>
      <c r="S6" s="3192"/>
      <c r="T6" s="3193"/>
      <c r="U6" s="3194"/>
      <c r="V6" s="3176"/>
      <c r="W6" s="3176"/>
      <c r="X6" s="1810"/>
      <c r="Y6" s="3193"/>
      <c r="Z6" s="3194"/>
      <c r="AA6" s="3179"/>
      <c r="AB6" s="3179"/>
      <c r="AC6" s="3179"/>
    </row>
    <row r="7" spans="1:29" s="117" customFormat="1" ht="15.75" thickBot="1">
      <c r="A7" s="407" t="s">
        <v>2546</v>
      </c>
      <c r="B7" s="408"/>
      <c r="C7" s="409">
        <f>'数据-取费表'!B2</f>
        <v>43615</v>
      </c>
      <c r="D7" s="410">
        <v>100</v>
      </c>
      <c r="E7" s="411"/>
      <c r="F7" s="412">
        <f>SUMIF(58:58,YEAR(E7)&amp;"-"&amp;MONTH(E7),59:59)</f>
        <v>0</v>
      </c>
      <c r="G7" s="411"/>
      <c r="H7" s="410">
        <f>SUMIF(58:58,YEAR(G7)&amp;"-"&amp;MONTH(G7),59:59)</f>
        <v>0</v>
      </c>
      <c r="I7" s="411"/>
      <c r="J7" s="410">
        <f>SUMIF(58:58,YEAR(I7)&amp;"-"&amp;MONTH(I7),59:59)</f>
        <v>0</v>
      </c>
      <c r="K7" s="2595"/>
      <c r="L7" s="1129"/>
      <c r="M7" s="1130"/>
      <c r="N7" s="1130"/>
      <c r="O7" s="1130"/>
      <c r="P7" s="3199" t="s">
        <v>2547</v>
      </c>
      <c r="Q7" s="3201"/>
      <c r="R7" s="768" t="s">
        <v>23</v>
      </c>
      <c r="S7" s="769">
        <f t="shared" ref="S7:S15" si="0">F7</f>
        <v>0</v>
      </c>
      <c r="T7" s="768" t="s">
        <v>23</v>
      </c>
      <c r="U7" s="769">
        <f t="shared" ref="U7:U15" si="1">H7</f>
        <v>0</v>
      </c>
      <c r="V7" s="768" t="s">
        <v>23</v>
      </c>
      <c r="W7" s="769">
        <f t="shared" ref="W7:W15" si="2">J7</f>
        <v>0</v>
      </c>
      <c r="X7" s="770"/>
      <c r="Y7" s="3199" t="s">
        <v>2547</v>
      </c>
      <c r="Z7" s="3200"/>
      <c r="AA7" s="771" t="e">
        <f>D7/F7</f>
        <v>#DIV/0!</v>
      </c>
      <c r="AB7" s="771" t="e">
        <f>D7/H7</f>
        <v>#DIV/0!</v>
      </c>
      <c r="AC7" s="771" t="e">
        <f>D7/J7</f>
        <v>#DIV/0!</v>
      </c>
    </row>
    <row r="8" spans="1:29" s="117" customFormat="1" ht="15.75" thickBot="1">
      <c r="A8" s="407" t="s">
        <v>2548</v>
      </c>
      <c r="B8" s="408"/>
      <c r="C8" s="413" t="s">
        <v>2549</v>
      </c>
      <c r="D8" s="410">
        <v>100</v>
      </c>
      <c r="E8" s="2596"/>
      <c r="F8" s="412">
        <f>SUMIF(61:61,E8,62:62)-SUMIF(61:61,C8,62:62)+100</f>
        <v>0</v>
      </c>
      <c r="G8" s="413"/>
      <c r="H8" s="410">
        <f>SUMIF(61:61,G8,62:62)-SUMIF(61:61,C8,62:62)+100</f>
        <v>0</v>
      </c>
      <c r="I8" s="2596"/>
      <c r="J8" s="410">
        <f>SUMIF(61:61,I8,62:62)-SUMIF(61:61,C8,62:62)+100</f>
        <v>0</v>
      </c>
      <c r="K8" s="2595"/>
      <c r="L8" s="1129"/>
      <c r="M8" s="1130"/>
      <c r="N8" s="1130"/>
      <c r="O8" s="1130"/>
      <c r="P8" s="3199" t="s">
        <v>2550</v>
      </c>
      <c r="Q8" s="3200"/>
      <c r="R8" s="768" t="s">
        <v>23</v>
      </c>
      <c r="S8" s="769">
        <f t="shared" si="0"/>
        <v>0</v>
      </c>
      <c r="T8" s="768" t="s">
        <v>23</v>
      </c>
      <c r="U8" s="769">
        <f t="shared" si="1"/>
        <v>0</v>
      </c>
      <c r="V8" s="768" t="s">
        <v>23</v>
      </c>
      <c r="W8" s="769">
        <f t="shared" si="2"/>
        <v>0</v>
      </c>
      <c r="X8" s="770"/>
      <c r="Y8" s="3199" t="s">
        <v>2550</v>
      </c>
      <c r="Z8" s="3200"/>
      <c r="AA8" s="771" t="e">
        <f t="shared" ref="AA8:AA19" si="3">D8/F8</f>
        <v>#DIV/0!</v>
      </c>
      <c r="AB8" s="771" t="e">
        <f t="shared" ref="AB8:AB19" si="4">D8/H8</f>
        <v>#DIV/0!</v>
      </c>
      <c r="AC8" s="771" t="e">
        <f t="shared" ref="AC8:AC19" si="5">D8/J8</f>
        <v>#DIV/0!</v>
      </c>
    </row>
    <row r="9" spans="1:29" s="117"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5"/>
      <c r="L9" s="1129"/>
      <c r="M9" s="1130"/>
      <c r="N9" s="1130"/>
      <c r="O9" s="1130"/>
      <c r="P9" s="3169"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771">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169"/>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169"/>
      <c r="Q11" s="1792" t="str">
        <f t="shared" si="6"/>
        <v>容积率</v>
      </c>
      <c r="R11" s="768" t="s">
        <v>21</v>
      </c>
      <c r="S11" s="769" t="e">
        <f t="shared" si="0"/>
        <v>#N/A</v>
      </c>
      <c r="T11" s="768" t="s">
        <v>21</v>
      </c>
      <c r="U11" s="769" t="e">
        <f t="shared" si="1"/>
        <v>#N/A</v>
      </c>
      <c r="V11" s="768" t="s">
        <v>21</v>
      </c>
      <c r="W11" s="769" t="e">
        <f t="shared" si="2"/>
        <v>#N/A</v>
      </c>
      <c r="X11" s="770"/>
      <c r="Y11" s="3018"/>
      <c r="Z11" s="55" t="str">
        <f t="shared" si="7"/>
        <v>容积率</v>
      </c>
      <c r="AA11" s="771" t="e">
        <f t="shared" si="3"/>
        <v>#N/A</v>
      </c>
      <c r="AB11" s="771" t="e">
        <f t="shared" si="4"/>
        <v>#N/A</v>
      </c>
      <c r="AC11" s="771" t="e">
        <f t="shared" si="5"/>
        <v>#N/A</v>
      </c>
    </row>
    <row r="12" spans="1:29" s="117"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29"/>
      <c r="M12" s="1130"/>
      <c r="N12" s="1130"/>
      <c r="O12" s="1130"/>
      <c r="P12" s="3169"/>
      <c r="Q12" s="1792">
        <f t="shared" si="6"/>
        <v>111</v>
      </c>
      <c r="R12" s="768" t="s">
        <v>21</v>
      </c>
      <c r="S12" s="769">
        <f t="shared" si="0"/>
        <v>100</v>
      </c>
      <c r="T12" s="768" t="s">
        <v>21</v>
      </c>
      <c r="U12" s="769">
        <f t="shared" si="1"/>
        <v>100</v>
      </c>
      <c r="V12" s="768" t="s">
        <v>21</v>
      </c>
      <c r="W12" s="769">
        <f t="shared" si="2"/>
        <v>100</v>
      </c>
      <c r="X12" s="770"/>
      <c r="Y12" s="3018"/>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7"/>
      <c r="M13" s="1128"/>
      <c r="N13" s="1128"/>
      <c r="O13" s="1128"/>
      <c r="P13" s="3169"/>
      <c r="Q13" s="1792">
        <f t="shared" si="6"/>
        <v>111</v>
      </c>
      <c r="R13" s="768" t="s">
        <v>21</v>
      </c>
      <c r="S13" s="769">
        <f t="shared" si="0"/>
        <v>100</v>
      </c>
      <c r="T13" s="768" t="s">
        <v>21</v>
      </c>
      <c r="U13" s="769">
        <f t="shared" si="1"/>
        <v>100</v>
      </c>
      <c r="V13" s="768" t="s">
        <v>21</v>
      </c>
      <c r="W13" s="769">
        <f t="shared" si="2"/>
        <v>100</v>
      </c>
      <c r="X13" s="770"/>
      <c r="Y13" s="3018"/>
      <c r="Z13" s="55">
        <f t="shared" si="7"/>
        <v>111</v>
      </c>
      <c r="AA13" s="771">
        <f t="shared" si="3"/>
        <v>1</v>
      </c>
      <c r="AB13" s="771">
        <f t="shared" si="4"/>
        <v>1</v>
      </c>
      <c r="AC13" s="771">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7"/>
      <c r="M14" s="1128"/>
      <c r="N14" s="1128"/>
      <c r="O14" s="1128"/>
      <c r="P14" s="3169"/>
      <c r="Q14" s="1792">
        <f t="shared" si="6"/>
        <v>111</v>
      </c>
      <c r="R14" s="768" t="s">
        <v>21</v>
      </c>
      <c r="S14" s="769">
        <f t="shared" si="0"/>
        <v>100</v>
      </c>
      <c r="T14" s="768" t="s">
        <v>21</v>
      </c>
      <c r="U14" s="769">
        <f t="shared" si="1"/>
        <v>100</v>
      </c>
      <c r="V14" s="768" t="s">
        <v>21</v>
      </c>
      <c r="W14" s="769">
        <f t="shared" si="2"/>
        <v>100</v>
      </c>
      <c r="X14" s="770"/>
      <c r="Y14" s="3018"/>
      <c r="Z14" s="55">
        <f t="shared" si="7"/>
        <v>111</v>
      </c>
      <c r="AA14" s="771">
        <f t="shared" si="3"/>
        <v>1</v>
      </c>
      <c r="AB14" s="771">
        <f t="shared" si="4"/>
        <v>1</v>
      </c>
      <c r="AC14" s="771">
        <f t="shared" si="5"/>
        <v>1</v>
      </c>
    </row>
    <row r="15" spans="1:29" ht="99.75">
      <c r="A15" s="439" t="s">
        <v>2557</v>
      </c>
      <c r="B15" s="69" t="s">
        <v>2082</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60" t="s">
        <v>2558</v>
      </c>
      <c r="Q15" s="1807" t="str">
        <f t="shared" si="6"/>
        <v>居住社区成熟度</v>
      </c>
      <c r="R15" s="772" t="s">
        <v>21</v>
      </c>
      <c r="S15" s="773">
        <f t="shared" si="0"/>
        <v>100</v>
      </c>
      <c r="T15" s="772" t="s">
        <v>21</v>
      </c>
      <c r="U15" s="773">
        <f t="shared" si="1"/>
        <v>100</v>
      </c>
      <c r="V15" s="772" t="s">
        <v>21</v>
      </c>
      <c r="W15" s="773">
        <f t="shared" si="2"/>
        <v>100</v>
      </c>
      <c r="X15" s="1810"/>
      <c r="Y15" s="3172" t="s">
        <v>2558</v>
      </c>
      <c r="Z15" s="1811" t="str">
        <f t="shared" si="7"/>
        <v>居住社区成熟度</v>
      </c>
      <c r="AA15" s="1808">
        <f t="shared" si="3"/>
        <v>1</v>
      </c>
      <c r="AB15" s="1808">
        <f t="shared" si="4"/>
        <v>1</v>
      </c>
      <c r="AC15" s="1808">
        <f t="shared" si="5"/>
        <v>1</v>
      </c>
    </row>
    <row r="16" spans="1:29" ht="15">
      <c r="A16" s="427"/>
      <c r="B16" s="445"/>
      <c r="C16" s="446"/>
      <c r="D16" s="447"/>
      <c r="E16" s="2601"/>
      <c r="F16" s="447"/>
      <c r="G16" s="2602"/>
      <c r="H16" s="449"/>
      <c r="I16" s="2602"/>
      <c r="J16" s="447"/>
      <c r="K16" s="2603"/>
      <c r="L16" s="1137"/>
      <c r="M16" s="1128"/>
      <c r="N16" s="1128"/>
      <c r="O16" s="1128"/>
      <c r="P16" s="3261"/>
      <c r="Q16" s="1807"/>
      <c r="R16" s="772"/>
      <c r="S16" s="773"/>
      <c r="T16" s="772"/>
      <c r="U16" s="773"/>
      <c r="V16" s="772"/>
      <c r="W16" s="773"/>
      <c r="X16" s="1810"/>
      <c r="Y16" s="3173"/>
      <c r="Z16" s="1811"/>
      <c r="AA16" s="1808">
        <v>1</v>
      </c>
      <c r="AB16" s="1808">
        <v>1</v>
      </c>
      <c r="AC16" s="1808">
        <v>1</v>
      </c>
    </row>
    <row r="17" spans="1:29" ht="85.5">
      <c r="A17" s="427"/>
      <c r="B17" s="450" t="s">
        <v>2094</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61"/>
      <c r="Q17" s="1807" t="str">
        <f>B17</f>
        <v>交通便捷度</v>
      </c>
      <c r="R17" s="772" t="s">
        <v>21</v>
      </c>
      <c r="S17" s="773">
        <f>F17</f>
        <v>100</v>
      </c>
      <c r="T17" s="772" t="s">
        <v>21</v>
      </c>
      <c r="U17" s="773">
        <f>H17</f>
        <v>100</v>
      </c>
      <c r="V17" s="772" t="s">
        <v>21</v>
      </c>
      <c r="W17" s="773">
        <f>J17</f>
        <v>100</v>
      </c>
      <c r="X17" s="1810"/>
      <c r="Y17" s="3173"/>
      <c r="Z17" s="1811" t="str">
        <f>Q17</f>
        <v>交通便捷度</v>
      </c>
      <c r="AA17" s="1808">
        <f t="shared" si="3"/>
        <v>1</v>
      </c>
      <c r="AB17" s="1808">
        <f t="shared" si="4"/>
        <v>1</v>
      </c>
      <c r="AC17" s="1808">
        <f t="shared" si="5"/>
        <v>1</v>
      </c>
    </row>
    <row r="18" spans="1:29" ht="15">
      <c r="A18" s="427"/>
      <c r="B18" s="455"/>
      <c r="C18" s="2605"/>
      <c r="D18" s="449"/>
      <c r="E18" s="2606"/>
      <c r="F18" s="449"/>
      <c r="G18" s="2607"/>
      <c r="H18" s="447"/>
      <c r="I18" s="2607"/>
      <c r="J18" s="447"/>
      <c r="K18" s="2603"/>
      <c r="L18" s="1137"/>
      <c r="M18" s="1128"/>
      <c r="N18" s="1128"/>
      <c r="O18" s="1128"/>
      <c r="P18" s="3261"/>
      <c r="Q18" s="1807"/>
      <c r="R18" s="772"/>
      <c r="S18" s="773"/>
      <c r="T18" s="772"/>
      <c r="U18" s="773"/>
      <c r="V18" s="772"/>
      <c r="W18" s="773"/>
      <c r="X18" s="1810"/>
      <c r="Y18" s="3173"/>
      <c r="Z18" s="1811"/>
      <c r="AA18" s="1808">
        <v>1</v>
      </c>
      <c r="AB18" s="1808">
        <v>1</v>
      </c>
      <c r="AC18" s="1808">
        <v>1</v>
      </c>
    </row>
    <row r="19" spans="1:29" ht="42.75">
      <c r="A19" s="427"/>
      <c r="B19" s="450" t="s">
        <v>2092</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61"/>
      <c r="Q19" s="1807" t="str">
        <f>B19</f>
        <v>公共配套设施</v>
      </c>
      <c r="R19" s="772" t="s">
        <v>21</v>
      </c>
      <c r="S19" s="773">
        <f>F19</f>
        <v>100</v>
      </c>
      <c r="T19" s="772" t="s">
        <v>21</v>
      </c>
      <c r="U19" s="773">
        <f>H19</f>
        <v>100</v>
      </c>
      <c r="V19" s="772" t="s">
        <v>21</v>
      </c>
      <c r="W19" s="773">
        <f>J19</f>
        <v>100</v>
      </c>
      <c r="X19" s="1810"/>
      <c r="Y19" s="3173"/>
      <c r="Z19" s="1811" t="str">
        <f>Q19</f>
        <v>公共配套设施</v>
      </c>
      <c r="AA19" s="1808">
        <f t="shared" si="3"/>
        <v>1</v>
      </c>
      <c r="AB19" s="1808">
        <f t="shared" si="4"/>
        <v>1</v>
      </c>
      <c r="AC19" s="1808">
        <f t="shared" si="5"/>
        <v>1</v>
      </c>
    </row>
    <row r="20" spans="1:29" ht="15">
      <c r="A20" s="427"/>
      <c r="B20" s="455"/>
      <c r="C20" s="446"/>
      <c r="D20" s="447"/>
      <c r="E20" s="2601"/>
      <c r="F20" s="447"/>
      <c r="G20" s="2602"/>
      <c r="H20" s="447"/>
      <c r="I20" s="2602"/>
      <c r="J20" s="447"/>
      <c r="K20" s="2603"/>
      <c r="L20" s="1137"/>
      <c r="M20" s="1128"/>
      <c r="N20" s="1128"/>
      <c r="O20" s="1128"/>
      <c r="P20" s="3261"/>
      <c r="Q20" s="1807"/>
      <c r="R20" s="772"/>
      <c r="S20" s="773"/>
      <c r="T20" s="772"/>
      <c r="U20" s="773"/>
      <c r="V20" s="772"/>
      <c r="W20" s="773"/>
      <c r="X20" s="1810"/>
      <c r="Y20" s="3173"/>
      <c r="Z20" s="1811"/>
      <c r="AA20" s="1808">
        <v>1</v>
      </c>
      <c r="AB20" s="1808">
        <v>1</v>
      </c>
      <c r="AC20" s="1808">
        <v>1</v>
      </c>
    </row>
    <row r="21" spans="1:29" ht="28.5">
      <c r="A21" s="427"/>
      <c r="B21" s="1381" t="s">
        <v>2095</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61"/>
      <c r="Q21" s="1807" t="str">
        <f>B21</f>
        <v>基础设施水平</v>
      </c>
      <c r="R21" s="772" t="s">
        <v>17</v>
      </c>
      <c r="S21" s="773">
        <f>F21</f>
        <v>100</v>
      </c>
      <c r="T21" s="772" t="s">
        <v>17</v>
      </c>
      <c r="U21" s="773">
        <f>H21</f>
        <v>100</v>
      </c>
      <c r="V21" s="772" t="s">
        <v>17</v>
      </c>
      <c r="W21" s="773">
        <f>J21</f>
        <v>100</v>
      </c>
      <c r="X21" s="1810"/>
      <c r="Y21" s="3173"/>
      <c r="Z21" s="1811" t="str">
        <f>Q21</f>
        <v>基础设施水平</v>
      </c>
      <c r="AA21" s="1808">
        <f t="shared" ref="AA21" si="8">D21/F21</f>
        <v>1</v>
      </c>
      <c r="AB21" s="1808">
        <f t="shared" ref="AB21" si="9">D21/H21</f>
        <v>1</v>
      </c>
      <c r="AC21" s="1808">
        <f t="shared" ref="AC21" si="10">D21/J21</f>
        <v>1</v>
      </c>
    </row>
    <row r="22" spans="1:29" ht="15">
      <c r="A22" s="427"/>
      <c r="B22" s="1381"/>
      <c r="C22" s="2605"/>
      <c r="D22" s="447"/>
      <c r="E22" s="446"/>
      <c r="F22" s="447"/>
      <c r="G22" s="2608"/>
      <c r="H22" s="447"/>
      <c r="I22" s="446"/>
      <c r="J22" s="447"/>
      <c r="K22" s="2609"/>
      <c r="L22" s="1137"/>
      <c r="M22" s="1128"/>
      <c r="N22" s="1128"/>
      <c r="O22" s="1128"/>
      <c r="P22" s="3261"/>
      <c r="Q22" s="1807"/>
      <c r="R22" s="772"/>
      <c r="S22" s="773"/>
      <c r="T22" s="772"/>
      <c r="U22" s="773"/>
      <c r="V22" s="772"/>
      <c r="W22" s="773"/>
      <c r="X22" s="1810"/>
      <c r="Y22" s="3173"/>
      <c r="Z22" s="1811"/>
      <c r="AA22" s="1808">
        <v>1</v>
      </c>
      <c r="AB22" s="1808">
        <v>1</v>
      </c>
      <c r="AC22" s="1808">
        <v>1</v>
      </c>
    </row>
    <row r="23" spans="1:29" ht="57">
      <c r="A23" s="427"/>
      <c r="B23" s="450" t="s">
        <v>2099</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61"/>
      <c r="Q23" s="1807" t="str">
        <f>B23</f>
        <v>自然及人文环境</v>
      </c>
      <c r="R23" s="772" t="s">
        <v>21</v>
      </c>
      <c r="S23" s="773">
        <f>F23</f>
        <v>100</v>
      </c>
      <c r="T23" s="772" t="s">
        <v>21</v>
      </c>
      <c r="U23" s="773">
        <f>H23</f>
        <v>100</v>
      </c>
      <c r="V23" s="772" t="s">
        <v>21</v>
      </c>
      <c r="W23" s="773">
        <f>J23</f>
        <v>100</v>
      </c>
      <c r="X23" s="1810"/>
      <c r="Y23" s="3173"/>
      <c r="Z23" s="1811" t="str">
        <f>Q23</f>
        <v>自然及人文环境</v>
      </c>
      <c r="AA23" s="1808">
        <f>D23/F23</f>
        <v>1</v>
      </c>
      <c r="AB23" s="1808">
        <f>D23/H23</f>
        <v>1</v>
      </c>
      <c r="AC23" s="1808">
        <f>D23/J23</f>
        <v>1</v>
      </c>
    </row>
    <row r="24" spans="1:29" ht="15">
      <c r="A24" s="427"/>
      <c r="B24" s="455"/>
      <c r="C24" s="446"/>
      <c r="D24" s="447"/>
      <c r="E24" s="2601"/>
      <c r="F24" s="447"/>
      <c r="G24" s="2602"/>
      <c r="H24" s="447"/>
      <c r="I24" s="2602"/>
      <c r="J24" s="447"/>
      <c r="K24" s="2603"/>
      <c r="L24" s="1137"/>
      <c r="M24" s="1128"/>
      <c r="N24" s="1128"/>
      <c r="O24" s="1128"/>
      <c r="P24" s="3261"/>
      <c r="Q24" s="1807"/>
      <c r="R24" s="772"/>
      <c r="S24" s="773"/>
      <c r="T24" s="772"/>
      <c r="U24" s="773"/>
      <c r="V24" s="772"/>
      <c r="W24" s="773"/>
      <c r="X24" s="1810"/>
      <c r="Y24" s="3173"/>
      <c r="Z24" s="1811"/>
      <c r="AA24" s="1808">
        <v>1</v>
      </c>
      <c r="AB24" s="1808">
        <v>1</v>
      </c>
      <c r="AC24" s="1808">
        <v>1</v>
      </c>
    </row>
    <row r="25" spans="1:29" ht="15">
      <c r="A25" s="427"/>
      <c r="B25" s="421" t="s">
        <v>2559</v>
      </c>
      <c r="C25" s="459"/>
      <c r="D25" s="434">
        <v>100</v>
      </c>
      <c r="E25" s="2610"/>
      <c r="F25" s="434">
        <f>SUMIF(86:86,E25,87:87)-SUMIF(86:86,C25,87:87)+100</f>
        <v>100</v>
      </c>
      <c r="G25" s="2611"/>
      <c r="H25" s="434">
        <f>SUMIF(86:86,G25,87:87)-SUMIF(86:86,C25,87:87)+100</f>
        <v>100</v>
      </c>
      <c r="I25" s="2611"/>
      <c r="J25" s="434">
        <f>SUMIF(86:86,I25,87:87)-SUMIF(86:86,C25,87:87)+100</f>
        <v>100</v>
      </c>
      <c r="K25" s="425"/>
      <c r="L25" s="1137"/>
      <c r="M25" s="1128"/>
      <c r="N25" s="1128"/>
      <c r="O25" s="1128"/>
      <c r="P25" s="3261"/>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73"/>
      <c r="Z25" s="1811" t="str">
        <f>Q25</f>
        <v>楼层-1</v>
      </c>
      <c r="AA25" s="1808">
        <f t="shared" ref="AA25:AA46" si="15">D25/F25</f>
        <v>1</v>
      </c>
      <c r="AB25" s="1808">
        <f t="shared" ref="AB25:AB46" si="16">D25/H25</f>
        <v>1</v>
      </c>
      <c r="AC25" s="1808">
        <f t="shared" ref="AC25:AC46" si="17">D25/J25</f>
        <v>1</v>
      </c>
    </row>
    <row r="26" spans="1:29" ht="15">
      <c r="A26" s="427"/>
      <c r="B26" s="421" t="s">
        <v>2560</v>
      </c>
      <c r="C26" s="459"/>
      <c r="D26" s="434">
        <v>100</v>
      </c>
      <c r="E26" s="2610"/>
      <c r="F26" s="434">
        <f>SUMIF(88:88,E26,89:89)-SUMIF(88:88,C26,89:89)+100</f>
        <v>100</v>
      </c>
      <c r="G26" s="2611"/>
      <c r="H26" s="434">
        <f>SUMIF(88:88,G26,89:89)-SUMIF(88:88,C26,89:89)+100</f>
        <v>100</v>
      </c>
      <c r="I26" s="2611"/>
      <c r="J26" s="434">
        <f>SUMIF(88:88,I26,89:89)-SUMIF(88:88,C26,89:89)+100</f>
        <v>100</v>
      </c>
      <c r="K26" s="425"/>
      <c r="L26" s="1137"/>
      <c r="M26" s="1128"/>
      <c r="N26" s="1128"/>
      <c r="O26" s="1128"/>
      <c r="P26" s="3261"/>
      <c r="Q26" s="1807" t="str">
        <f t="shared" si="11"/>
        <v>朝向</v>
      </c>
      <c r="R26" s="772" t="s">
        <v>21</v>
      </c>
      <c r="S26" s="773">
        <f t="shared" si="12"/>
        <v>100</v>
      </c>
      <c r="T26" s="772" t="s">
        <v>21</v>
      </c>
      <c r="U26" s="773">
        <f t="shared" si="13"/>
        <v>100</v>
      </c>
      <c r="V26" s="772" t="s">
        <v>21</v>
      </c>
      <c r="W26" s="773">
        <f t="shared" si="14"/>
        <v>100</v>
      </c>
      <c r="X26" s="1810"/>
      <c r="Y26" s="3173"/>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8"/>
      <c r="L27" s="1129"/>
      <c r="M27" s="1130"/>
      <c r="N27" s="1130"/>
      <c r="O27" s="1130"/>
      <c r="P27" s="3261"/>
      <c r="Q27" s="1792">
        <f t="shared" si="11"/>
        <v>111</v>
      </c>
      <c r="R27" s="768" t="s">
        <v>21</v>
      </c>
      <c r="S27" s="769">
        <f t="shared" si="12"/>
        <v>100</v>
      </c>
      <c r="T27" s="768" t="s">
        <v>21</v>
      </c>
      <c r="U27" s="769">
        <f t="shared" si="13"/>
        <v>100</v>
      </c>
      <c r="V27" s="768" t="s">
        <v>21</v>
      </c>
      <c r="W27" s="769">
        <f t="shared" si="14"/>
        <v>100</v>
      </c>
      <c r="X27" s="770"/>
      <c r="Y27" s="3173"/>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12"/>
      <c r="H28" s="434">
        <f>SUMIF(92:92,G28,93:93)-SUMIF(92:92,C28,93:93)+100</f>
        <v>100</v>
      </c>
      <c r="I28" s="433"/>
      <c r="J28" s="434">
        <f>SUMIF(92:92,I28,93:93)-SUMIF(92:92,C28,93:93)+100</f>
        <v>100</v>
      </c>
      <c r="K28" s="2598"/>
      <c r="L28" s="1137"/>
      <c r="M28" s="1128"/>
      <c r="N28" s="1128"/>
      <c r="O28" s="1128"/>
      <c r="P28" s="3261"/>
      <c r="Q28" s="1807">
        <f t="shared" si="11"/>
        <v>111</v>
      </c>
      <c r="R28" s="772" t="s">
        <v>21</v>
      </c>
      <c r="S28" s="773">
        <f t="shared" si="12"/>
        <v>100</v>
      </c>
      <c r="T28" s="772" t="s">
        <v>21</v>
      </c>
      <c r="U28" s="773">
        <f t="shared" si="13"/>
        <v>100</v>
      </c>
      <c r="V28" s="772" t="s">
        <v>21</v>
      </c>
      <c r="W28" s="773">
        <f t="shared" si="14"/>
        <v>100</v>
      </c>
      <c r="X28" s="1810"/>
      <c r="Y28" s="3173"/>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12"/>
      <c r="H29" s="434">
        <f>SUMIF(94:94,G29,95:95)-SUMIF(94:94,C29,95:95)+100</f>
        <v>100</v>
      </c>
      <c r="I29" s="433"/>
      <c r="J29" s="434">
        <f>SUMIF(94:94,I29,95:95)-SUMIF(94:94,C29,95:95)+100</f>
        <v>100</v>
      </c>
      <c r="K29" s="2598"/>
      <c r="L29" s="1137"/>
      <c r="M29" s="1128"/>
      <c r="N29" s="1128"/>
      <c r="O29" s="1128"/>
      <c r="P29" s="3261"/>
      <c r="Q29" s="1807">
        <f t="shared" si="11"/>
        <v>111</v>
      </c>
      <c r="R29" s="772" t="s">
        <v>21</v>
      </c>
      <c r="S29" s="773">
        <f t="shared" si="12"/>
        <v>100</v>
      </c>
      <c r="T29" s="772" t="s">
        <v>21</v>
      </c>
      <c r="U29" s="773">
        <f t="shared" si="13"/>
        <v>100</v>
      </c>
      <c r="V29" s="772" t="s">
        <v>21</v>
      </c>
      <c r="W29" s="773">
        <f t="shared" si="14"/>
        <v>100</v>
      </c>
      <c r="X29" s="1810"/>
      <c r="Y29" s="3173"/>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12"/>
      <c r="H30" s="434">
        <f>SUMIF(96:96,G30,97:97)-SUMIF(96:96,C30,97:97)+100</f>
        <v>100</v>
      </c>
      <c r="I30" s="433"/>
      <c r="J30" s="434">
        <f>SUMIF(96:96,I30,97:97)-SUMIF(96:96,C30,97:97)+100</f>
        <v>100</v>
      </c>
      <c r="K30" s="2598"/>
      <c r="L30" s="1137"/>
      <c r="M30" s="1128"/>
      <c r="N30" s="1128"/>
      <c r="O30" s="1128"/>
      <c r="P30" s="3261"/>
      <c r="Q30" s="1807">
        <f t="shared" si="11"/>
        <v>111</v>
      </c>
      <c r="R30" s="772" t="s">
        <v>21</v>
      </c>
      <c r="S30" s="773">
        <f t="shared" si="12"/>
        <v>100</v>
      </c>
      <c r="T30" s="772" t="s">
        <v>21</v>
      </c>
      <c r="U30" s="773">
        <f t="shared" si="13"/>
        <v>100</v>
      </c>
      <c r="V30" s="772" t="s">
        <v>21</v>
      </c>
      <c r="W30" s="773">
        <f t="shared" si="14"/>
        <v>100</v>
      </c>
      <c r="X30" s="1810"/>
      <c r="Y30" s="3173"/>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3"/>
      <c r="H31" s="437">
        <f>SUMIF(98:98,G31,99:99)-SUMIF(98:98,C31,99:99)+100</f>
        <v>100</v>
      </c>
      <c r="I31" s="436"/>
      <c r="J31" s="437">
        <f>SUMIF(98:98,I31,99:99)-SUMIF(98:98,C31,99:99)+100</f>
        <v>100</v>
      </c>
      <c r="K31" s="2598"/>
      <c r="L31" s="1137"/>
      <c r="M31" s="1128"/>
      <c r="N31" s="1128"/>
      <c r="O31" s="1128"/>
      <c r="P31" s="3261"/>
      <c r="Q31" s="1807">
        <f t="shared" si="11"/>
        <v>111</v>
      </c>
      <c r="R31" s="772" t="s">
        <v>21</v>
      </c>
      <c r="S31" s="773">
        <f t="shared" si="12"/>
        <v>100</v>
      </c>
      <c r="T31" s="772" t="s">
        <v>21</v>
      </c>
      <c r="U31" s="773">
        <f t="shared" si="13"/>
        <v>100</v>
      </c>
      <c r="V31" s="772" t="s">
        <v>21</v>
      </c>
      <c r="W31" s="773">
        <f t="shared" si="14"/>
        <v>100</v>
      </c>
      <c r="X31" s="1810"/>
      <c r="Y31" s="3173"/>
      <c r="Z31" s="1811">
        <f t="shared" si="18"/>
        <v>111</v>
      </c>
      <c r="AA31" s="1808">
        <f t="shared" si="15"/>
        <v>1</v>
      </c>
      <c r="AB31" s="1808">
        <f t="shared" si="16"/>
        <v>1</v>
      </c>
      <c r="AC31" s="1808">
        <f t="shared" si="17"/>
        <v>1</v>
      </c>
    </row>
    <row r="32" spans="1:29" ht="15">
      <c r="A32" s="439" t="s">
        <v>2561</v>
      </c>
      <c r="B32" s="71" t="s">
        <v>2562</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7"/>
      <c r="M32" s="1128"/>
      <c r="N32" s="1128"/>
      <c r="O32" s="1128"/>
      <c r="P32" s="3256" t="s">
        <v>2563</v>
      </c>
      <c r="Q32" s="1807" t="str">
        <f t="shared" si="11"/>
        <v>建筑类型</v>
      </c>
      <c r="R32" s="772" t="s">
        <v>21</v>
      </c>
      <c r="S32" s="773">
        <f t="shared" si="12"/>
        <v>100</v>
      </c>
      <c r="T32" s="772" t="s">
        <v>21</v>
      </c>
      <c r="U32" s="773">
        <f t="shared" si="13"/>
        <v>100</v>
      </c>
      <c r="V32" s="772" t="s">
        <v>21</v>
      </c>
      <c r="W32" s="773">
        <f t="shared" si="14"/>
        <v>100</v>
      </c>
      <c r="X32" s="1810"/>
      <c r="Y32" s="3175" t="s">
        <v>2563</v>
      </c>
      <c r="Z32" s="1811" t="str">
        <f t="shared" si="18"/>
        <v>建筑类型</v>
      </c>
      <c r="AA32" s="1808">
        <f t="shared" si="15"/>
        <v>1</v>
      </c>
      <c r="AB32" s="1808">
        <f t="shared" si="16"/>
        <v>1</v>
      </c>
      <c r="AC32" s="1808">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5"/>
      <c r="M33" s="1138"/>
      <c r="N33" s="1138"/>
      <c r="O33" s="1138"/>
      <c r="P33" s="3257"/>
      <c r="Q33" s="774" t="str">
        <f t="shared" si="11"/>
        <v>项目建筑规模</v>
      </c>
      <c r="R33" s="775" t="s">
        <v>21</v>
      </c>
      <c r="S33" s="776" t="e">
        <f t="shared" si="12"/>
        <v>#N/A</v>
      </c>
      <c r="T33" s="775" t="s">
        <v>21</v>
      </c>
      <c r="U33" s="776" t="e">
        <f t="shared" si="13"/>
        <v>#N/A</v>
      </c>
      <c r="V33" s="775" t="s">
        <v>21</v>
      </c>
      <c r="W33" s="776" t="e">
        <f t="shared" si="14"/>
        <v>#N/A</v>
      </c>
      <c r="X33" s="777"/>
      <c r="Y33" s="3175"/>
      <c r="Z33" s="778" t="str">
        <f t="shared" si="18"/>
        <v>项目建筑规模</v>
      </c>
      <c r="AA33" s="1808" t="e">
        <f t="shared" si="15"/>
        <v>#N/A</v>
      </c>
      <c r="AB33" s="1808" t="e">
        <f t="shared" si="16"/>
        <v>#N/A</v>
      </c>
      <c r="AC33" s="1808" t="e">
        <f t="shared" si="17"/>
        <v>#N/A</v>
      </c>
    </row>
    <row r="34" spans="1:29" ht="15">
      <c r="A34" s="471"/>
      <c r="B34" s="421" t="s">
        <v>2565</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7"/>
      <c r="M34" s="1128"/>
      <c r="N34" s="1128"/>
      <c r="O34" s="1128"/>
      <c r="P34" s="3257"/>
      <c r="Q34" s="1807" t="str">
        <f t="shared" si="11"/>
        <v>建筑结构</v>
      </c>
      <c r="R34" s="772" t="s">
        <v>21</v>
      </c>
      <c r="S34" s="773">
        <f t="shared" si="12"/>
        <v>100</v>
      </c>
      <c r="T34" s="772" t="s">
        <v>21</v>
      </c>
      <c r="U34" s="773">
        <f t="shared" si="13"/>
        <v>100</v>
      </c>
      <c r="V34" s="772" t="s">
        <v>21</v>
      </c>
      <c r="W34" s="773">
        <f t="shared" si="14"/>
        <v>100</v>
      </c>
      <c r="X34" s="1810"/>
      <c r="Y34" s="3175"/>
      <c r="Z34" s="1811" t="str">
        <f t="shared" si="18"/>
        <v>建筑结构</v>
      </c>
      <c r="AA34" s="1808">
        <f t="shared" si="15"/>
        <v>1</v>
      </c>
      <c r="AB34" s="1808">
        <f t="shared" si="16"/>
        <v>1</v>
      </c>
      <c r="AC34" s="1808">
        <f t="shared" si="17"/>
        <v>1</v>
      </c>
    </row>
    <row r="35" spans="1:29" ht="15">
      <c r="A35" s="471"/>
      <c r="B35" s="421" t="s">
        <v>2566</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7"/>
      <c r="M35" s="1128"/>
      <c r="N35" s="1128"/>
      <c r="O35" s="1128"/>
      <c r="P35" s="3257"/>
      <c r="Q35" s="1807" t="str">
        <f t="shared" si="11"/>
        <v>建筑品质</v>
      </c>
      <c r="R35" s="772" t="s">
        <v>21</v>
      </c>
      <c r="S35" s="773">
        <f t="shared" si="12"/>
        <v>100</v>
      </c>
      <c r="T35" s="772" t="s">
        <v>21</v>
      </c>
      <c r="U35" s="773">
        <f t="shared" si="13"/>
        <v>100</v>
      </c>
      <c r="V35" s="772" t="s">
        <v>21</v>
      </c>
      <c r="W35" s="773">
        <f t="shared" si="14"/>
        <v>100</v>
      </c>
      <c r="X35" s="1810"/>
      <c r="Y35" s="3175"/>
      <c r="Z35" s="1811" t="str">
        <f t="shared" si="18"/>
        <v>建筑品质</v>
      </c>
      <c r="AA35" s="1808">
        <f t="shared" si="15"/>
        <v>1</v>
      </c>
      <c r="AB35" s="1808">
        <f t="shared" si="16"/>
        <v>1</v>
      </c>
      <c r="AC35" s="1808">
        <f t="shared" si="17"/>
        <v>1</v>
      </c>
    </row>
    <row r="36" spans="1:29" ht="15">
      <c r="A36" s="471"/>
      <c r="B36" s="421" t="s">
        <v>2567</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7"/>
      <c r="M36" s="1128"/>
      <c r="N36" s="1128"/>
      <c r="O36" s="1128"/>
      <c r="P36" s="3257"/>
      <c r="Q36" s="1807" t="str">
        <f t="shared" si="11"/>
        <v>公共部分装修</v>
      </c>
      <c r="R36" s="772" t="s">
        <v>21</v>
      </c>
      <c r="S36" s="773">
        <f t="shared" si="12"/>
        <v>100</v>
      </c>
      <c r="T36" s="772" t="s">
        <v>21</v>
      </c>
      <c r="U36" s="773">
        <f t="shared" si="13"/>
        <v>100</v>
      </c>
      <c r="V36" s="772" t="s">
        <v>21</v>
      </c>
      <c r="W36" s="773">
        <f t="shared" si="14"/>
        <v>100</v>
      </c>
      <c r="X36" s="1810"/>
      <c r="Y36" s="3175"/>
      <c r="Z36" s="1811" t="str">
        <f t="shared" si="18"/>
        <v>公共部分装修</v>
      </c>
      <c r="AA36" s="1808">
        <f t="shared" si="15"/>
        <v>1</v>
      </c>
      <c r="AB36" s="1808">
        <f t="shared" si="16"/>
        <v>1</v>
      </c>
      <c r="AC36" s="1808">
        <f t="shared" si="17"/>
        <v>1</v>
      </c>
    </row>
    <row r="37" spans="1:29" s="117"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57"/>
      <c r="Q37" s="1792" t="str">
        <f t="shared" si="11"/>
        <v>成新度</v>
      </c>
      <c r="R37" s="768" t="s">
        <v>21</v>
      </c>
      <c r="S37" s="769" t="e">
        <f t="shared" si="12"/>
        <v>#N/A</v>
      </c>
      <c r="T37" s="768" t="s">
        <v>21</v>
      </c>
      <c r="U37" s="769" t="e">
        <f t="shared" si="13"/>
        <v>#N/A</v>
      </c>
      <c r="V37" s="768" t="s">
        <v>21</v>
      </c>
      <c r="W37" s="769" t="e">
        <f t="shared" si="14"/>
        <v>#N/A</v>
      </c>
      <c r="X37" s="770"/>
      <c r="Y37" s="3175"/>
      <c r="Z37" s="55" t="str">
        <f t="shared" si="18"/>
        <v>成新度</v>
      </c>
      <c r="AA37" s="771" t="e">
        <f t="shared" si="15"/>
        <v>#N/A</v>
      </c>
      <c r="AB37" s="771" t="e">
        <f t="shared" si="16"/>
        <v>#N/A</v>
      </c>
      <c r="AC37" s="771" t="e">
        <f t="shared" si="17"/>
        <v>#N/A</v>
      </c>
    </row>
    <row r="38" spans="1:29" ht="15">
      <c r="A38" s="471"/>
      <c r="B38" s="421" t="s">
        <v>2569</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7"/>
      <c r="M38" s="1128"/>
      <c r="N38" s="1128"/>
      <c r="O38" s="1128"/>
      <c r="P38" s="3257" t="s">
        <v>2563</v>
      </c>
      <c r="Q38" s="1807" t="str">
        <f t="shared" si="11"/>
        <v>物业管理</v>
      </c>
      <c r="R38" s="772" t="s">
        <v>21</v>
      </c>
      <c r="S38" s="773">
        <f t="shared" si="12"/>
        <v>100</v>
      </c>
      <c r="T38" s="772" t="s">
        <v>21</v>
      </c>
      <c r="U38" s="773">
        <f t="shared" si="13"/>
        <v>100</v>
      </c>
      <c r="V38" s="772" t="s">
        <v>21</v>
      </c>
      <c r="W38" s="773">
        <f t="shared" si="14"/>
        <v>100</v>
      </c>
      <c r="X38" s="1810"/>
      <c r="Y38" s="3175" t="s">
        <v>2563</v>
      </c>
      <c r="Z38" s="1811" t="str">
        <f t="shared" si="18"/>
        <v>物业管理</v>
      </c>
      <c r="AA38" s="1808">
        <f t="shared" si="15"/>
        <v>1</v>
      </c>
      <c r="AB38" s="1808">
        <f t="shared" si="16"/>
        <v>1</v>
      </c>
      <c r="AC38" s="1808">
        <f t="shared" si="17"/>
        <v>1</v>
      </c>
    </row>
    <row r="39" spans="1:29" ht="15">
      <c r="A39" s="471"/>
      <c r="B39" s="421" t="s">
        <v>2570</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7"/>
      <c r="M39" s="1128"/>
      <c r="N39" s="1128"/>
      <c r="O39" s="1128"/>
      <c r="P39" s="3257"/>
      <c r="Q39" s="1807" t="str">
        <f t="shared" si="11"/>
        <v>市政基础设施</v>
      </c>
      <c r="R39" s="772" t="s">
        <v>21</v>
      </c>
      <c r="S39" s="773">
        <f t="shared" si="12"/>
        <v>100</v>
      </c>
      <c r="T39" s="772" t="s">
        <v>21</v>
      </c>
      <c r="U39" s="773">
        <f t="shared" si="13"/>
        <v>100</v>
      </c>
      <c r="V39" s="772" t="s">
        <v>21</v>
      </c>
      <c r="W39" s="773">
        <f t="shared" si="14"/>
        <v>100</v>
      </c>
      <c r="X39" s="1810"/>
      <c r="Y39" s="3175"/>
      <c r="Z39" s="1811" t="str">
        <f t="shared" si="18"/>
        <v>市政基础设施</v>
      </c>
      <c r="AA39" s="1808">
        <f t="shared" si="15"/>
        <v>1</v>
      </c>
      <c r="AB39" s="1808">
        <f t="shared" si="16"/>
        <v>1</v>
      </c>
      <c r="AC39" s="1808">
        <f t="shared" si="17"/>
        <v>1</v>
      </c>
    </row>
    <row r="40" spans="1:29" ht="15">
      <c r="A40" s="471"/>
      <c r="B40" s="421" t="s">
        <v>2571</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7"/>
      <c r="M40" s="1128"/>
      <c r="N40" s="1128"/>
      <c r="O40" s="1128"/>
      <c r="P40" s="3257"/>
      <c r="Q40" s="1807" t="str">
        <f t="shared" si="11"/>
        <v>房型</v>
      </c>
      <c r="R40" s="772" t="s">
        <v>21</v>
      </c>
      <c r="S40" s="773">
        <f t="shared" si="12"/>
        <v>100</v>
      </c>
      <c r="T40" s="772" t="s">
        <v>21</v>
      </c>
      <c r="U40" s="773">
        <f t="shared" si="13"/>
        <v>100</v>
      </c>
      <c r="V40" s="772" t="s">
        <v>21</v>
      </c>
      <c r="W40" s="773">
        <f t="shared" si="14"/>
        <v>100</v>
      </c>
      <c r="X40" s="1810"/>
      <c r="Y40" s="3175"/>
      <c r="Z40" s="1811" t="str">
        <f t="shared" si="18"/>
        <v>房型</v>
      </c>
      <c r="AA40" s="1808">
        <f t="shared" si="15"/>
        <v>1</v>
      </c>
      <c r="AB40" s="1808">
        <f t="shared" si="16"/>
        <v>1</v>
      </c>
      <c r="AC40" s="1808">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5"/>
      <c r="M41" s="1138"/>
      <c r="N41" s="1138"/>
      <c r="O41" s="1138"/>
      <c r="P41" s="3257"/>
      <c r="Q41" s="774" t="str">
        <f t="shared" si="11"/>
        <v>单套/主力户型建筑面积</v>
      </c>
      <c r="R41" s="775" t="s">
        <v>21</v>
      </c>
      <c r="S41" s="776">
        <f t="shared" si="12"/>
        <v>100</v>
      </c>
      <c r="T41" s="775" t="s">
        <v>21</v>
      </c>
      <c r="U41" s="776">
        <f t="shared" si="13"/>
        <v>100</v>
      </c>
      <c r="V41" s="775" t="s">
        <v>21</v>
      </c>
      <c r="W41" s="776">
        <f t="shared" si="14"/>
        <v>100</v>
      </c>
      <c r="X41" s="777"/>
      <c r="Y41" s="3175"/>
      <c r="Z41" s="778" t="str">
        <f t="shared" si="18"/>
        <v>单套/主力户型建筑面积</v>
      </c>
      <c r="AA41" s="1808">
        <f t="shared" si="15"/>
        <v>1</v>
      </c>
      <c r="AB41" s="1808">
        <f t="shared" si="16"/>
        <v>1</v>
      </c>
      <c r="AC41" s="1808">
        <f t="shared" si="17"/>
        <v>1</v>
      </c>
    </row>
    <row r="42" spans="1:29" ht="15">
      <c r="A42" s="471"/>
      <c r="B42" s="421" t="s">
        <v>2573</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7"/>
      <c r="M42" s="1128"/>
      <c r="N42" s="1128"/>
      <c r="O42" s="1128"/>
      <c r="P42" s="3257"/>
      <c r="Q42" s="1807" t="str">
        <f t="shared" si="11"/>
        <v>内部装修</v>
      </c>
      <c r="R42" s="772" t="s">
        <v>21</v>
      </c>
      <c r="S42" s="773">
        <f t="shared" si="12"/>
        <v>100</v>
      </c>
      <c r="T42" s="772" t="s">
        <v>21</v>
      </c>
      <c r="U42" s="773">
        <f t="shared" si="13"/>
        <v>100</v>
      </c>
      <c r="V42" s="772" t="s">
        <v>21</v>
      </c>
      <c r="W42" s="773">
        <f t="shared" si="14"/>
        <v>100</v>
      </c>
      <c r="X42" s="1810"/>
      <c r="Y42" s="3175"/>
      <c r="Z42" s="1811" t="str">
        <f t="shared" si="18"/>
        <v>内部装修</v>
      </c>
      <c r="AA42" s="1808">
        <f t="shared" si="15"/>
        <v>1</v>
      </c>
      <c r="AB42" s="1808">
        <f t="shared" si="16"/>
        <v>1</v>
      </c>
      <c r="AC42" s="1808">
        <f t="shared" si="17"/>
        <v>1</v>
      </c>
    </row>
    <row r="43" spans="1:29" ht="15">
      <c r="A43" s="471"/>
      <c r="B43" s="421" t="s">
        <v>2574</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7"/>
      <c r="M43" s="1128"/>
      <c r="N43" s="1128"/>
      <c r="O43" s="1128"/>
      <c r="P43" s="3257"/>
      <c r="Q43" s="1807" t="str">
        <f t="shared" si="11"/>
        <v>内部装修维护情况</v>
      </c>
      <c r="R43" s="772" t="s">
        <v>21</v>
      </c>
      <c r="S43" s="773">
        <f t="shared" si="12"/>
        <v>100</v>
      </c>
      <c r="T43" s="772" t="s">
        <v>21</v>
      </c>
      <c r="U43" s="773">
        <f t="shared" si="13"/>
        <v>100</v>
      </c>
      <c r="V43" s="772" t="s">
        <v>21</v>
      </c>
      <c r="W43" s="773">
        <f t="shared" si="14"/>
        <v>100</v>
      </c>
      <c r="X43" s="1810"/>
      <c r="Y43" s="317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29"/>
      <c r="M44" s="1130"/>
      <c r="N44" s="1130"/>
      <c r="O44" s="1130"/>
      <c r="P44" s="3257"/>
      <c r="Q44" s="1792">
        <f t="shared" si="11"/>
        <v>111</v>
      </c>
      <c r="R44" s="768" t="s">
        <v>21</v>
      </c>
      <c r="S44" s="769">
        <f t="shared" si="12"/>
        <v>100</v>
      </c>
      <c r="T44" s="768" t="s">
        <v>21</v>
      </c>
      <c r="U44" s="769">
        <f t="shared" si="13"/>
        <v>100</v>
      </c>
      <c r="V44" s="768" t="s">
        <v>21</v>
      </c>
      <c r="W44" s="769">
        <f t="shared" si="14"/>
        <v>100</v>
      </c>
      <c r="X44" s="770"/>
      <c r="Y44" s="3175"/>
      <c r="Z44" s="55">
        <f t="shared" si="18"/>
        <v>111</v>
      </c>
      <c r="AA44" s="771">
        <f t="shared" si="15"/>
        <v>1</v>
      </c>
      <c r="AB44" s="771">
        <f t="shared" si="16"/>
        <v>1</v>
      </c>
      <c r="AC44" s="771">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7"/>
      <c r="M45" s="1128"/>
      <c r="N45" s="1128"/>
      <c r="O45" s="1128"/>
      <c r="P45" s="3257"/>
      <c r="Q45" s="1807">
        <f t="shared" si="11"/>
        <v>111</v>
      </c>
      <c r="R45" s="772" t="s">
        <v>21</v>
      </c>
      <c r="S45" s="773">
        <f t="shared" si="12"/>
        <v>100</v>
      </c>
      <c r="T45" s="772" t="s">
        <v>21</v>
      </c>
      <c r="U45" s="773">
        <f t="shared" si="13"/>
        <v>100</v>
      </c>
      <c r="V45" s="772" t="s">
        <v>21</v>
      </c>
      <c r="W45" s="773">
        <f t="shared" si="14"/>
        <v>100</v>
      </c>
      <c r="X45" s="1810"/>
      <c r="Y45" s="3175"/>
      <c r="Z45" s="1811">
        <f t="shared" si="18"/>
        <v>111</v>
      </c>
      <c r="AA45" s="1808">
        <f t="shared" si="15"/>
        <v>1</v>
      </c>
      <c r="AB45" s="1808">
        <f t="shared" si="16"/>
        <v>1</v>
      </c>
      <c r="AC45" s="1808">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7"/>
      <c r="M46" s="1128"/>
      <c r="N46" s="1128"/>
      <c r="O46" s="1128"/>
      <c r="P46" s="3258"/>
      <c r="Q46" s="1807">
        <f t="shared" si="11"/>
        <v>111</v>
      </c>
      <c r="R46" s="772" t="s">
        <v>20</v>
      </c>
      <c r="S46" s="773">
        <f t="shared" si="12"/>
        <v>100</v>
      </c>
      <c r="T46" s="772" t="s">
        <v>20</v>
      </c>
      <c r="U46" s="773">
        <f t="shared" si="13"/>
        <v>100</v>
      </c>
      <c r="V46" s="772" t="s">
        <v>20</v>
      </c>
      <c r="W46" s="773">
        <f t="shared" si="14"/>
        <v>100</v>
      </c>
      <c r="X46" s="1810"/>
      <c r="Y46" s="3259"/>
      <c r="Z46" s="1811">
        <f t="shared" si="18"/>
        <v>111</v>
      </c>
      <c r="AA46" s="1808">
        <f t="shared" si="15"/>
        <v>1</v>
      </c>
      <c r="AB46" s="1808">
        <f t="shared" si="16"/>
        <v>1</v>
      </c>
      <c r="AC46" s="1808">
        <f t="shared" si="17"/>
        <v>1</v>
      </c>
    </row>
    <row r="47" spans="1:29" ht="15">
      <c r="A47" s="478" t="s">
        <v>2575</v>
      </c>
      <c r="B47" s="479"/>
      <c r="C47" s="1404" t="s">
        <v>19</v>
      </c>
      <c r="D47" s="1405"/>
      <c r="E47" s="1406"/>
      <c r="F47" s="1407"/>
      <c r="G47" s="1408"/>
      <c r="H47" s="1409"/>
      <c r="I47" s="1406"/>
      <c r="J47" s="1409"/>
      <c r="K47" s="2618"/>
      <c r="L47" s="1140"/>
      <c r="M47" s="1141"/>
      <c r="N47" s="1128"/>
      <c r="O47" s="1141"/>
      <c r="P47" s="3170" t="str">
        <f>A47</f>
        <v>成交单价（元/平方米）</v>
      </c>
      <c r="Q47" s="3170"/>
      <c r="R47" s="3255">
        <f>E47</f>
        <v>0</v>
      </c>
      <c r="S47" s="3255"/>
      <c r="T47" s="3255">
        <f>G47</f>
        <v>0</v>
      </c>
      <c r="U47" s="3255"/>
      <c r="V47" s="3255">
        <f>I47</f>
        <v>0</v>
      </c>
      <c r="W47" s="3255"/>
      <c r="X47" s="757"/>
      <c r="Y47" s="779"/>
      <c r="Z47" s="757"/>
      <c r="AA47" s="757"/>
      <c r="AB47" s="757"/>
      <c r="AC47" s="757"/>
    </row>
    <row r="48" spans="1:29" ht="15.75" thickBot="1">
      <c r="A48" s="485" t="s">
        <v>2576</v>
      </c>
      <c r="B48" s="486"/>
      <c r="C48" s="1410" t="e">
        <f>R49</f>
        <v>#DIV/0!</v>
      </c>
      <c r="D48" s="1411"/>
      <c r="E48" s="1412" t="e">
        <f>R48</f>
        <v>#DIV/0!</v>
      </c>
      <c r="F48" s="1412"/>
      <c r="G48" s="1410" t="e">
        <f>T48</f>
        <v>#DIV/0!</v>
      </c>
      <c r="H48" s="1411"/>
      <c r="I48" s="1412" t="e">
        <f>V48</f>
        <v>#DIV/0!</v>
      </c>
      <c r="J48" s="1411"/>
      <c r="K48" s="2619"/>
      <c r="L48" s="1140"/>
      <c r="M48" s="1141"/>
      <c r="N48" s="1141"/>
      <c r="O48" s="1141"/>
      <c r="P48" s="3170" t="str">
        <f>A48</f>
        <v>比较价值（元/平方米）</v>
      </c>
      <c r="Q48" s="317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7"/>
      <c r="Y48" s="757"/>
      <c r="Z48" s="757"/>
      <c r="AA48" s="757"/>
      <c r="AB48" s="757"/>
      <c r="AC48" s="757"/>
    </row>
    <row r="49" spans="1:29" ht="15.75" thickBot="1">
      <c r="A49" s="491" t="s">
        <v>2577</v>
      </c>
      <c r="B49" s="492"/>
      <c r="C49" s="1413" t="e">
        <f>R49</f>
        <v>#DIV/0!</v>
      </c>
      <c r="D49" s="1414"/>
      <c r="E49" s="1414"/>
      <c r="F49" s="1414"/>
      <c r="G49" s="1414"/>
      <c r="H49" s="1414"/>
      <c r="I49" s="1414"/>
      <c r="J49" s="1414"/>
      <c r="K49" s="2620"/>
      <c r="L49" s="1140"/>
      <c r="M49" s="1141"/>
      <c r="N49" s="1141"/>
      <c r="O49" s="1141"/>
      <c r="P49" s="3164" t="str">
        <f>A49</f>
        <v>估价对象XX用房的比较价值（楼面单价，元/平方米）</v>
      </c>
      <c r="Q49" s="3165"/>
      <c r="R49" s="3254" t="e">
        <f>IF(F1="售价",ROUND(AVERAGE(R48:V48),0),ROUND(AVERAGE(R48:V48),1))</f>
        <v>#DIV/0!</v>
      </c>
      <c r="S49" s="3254"/>
      <c r="T49" s="3254"/>
      <c r="U49" s="3254"/>
      <c r="V49" s="3254"/>
      <c r="W49" s="325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22"/>
    </row>
    <row r="55" spans="1:29" s="501"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1" t="s">
        <v>2581</v>
      </c>
      <c r="B57" s="757"/>
      <c r="C57" s="762"/>
      <c r="D57" s="762"/>
      <c r="E57" s="762"/>
      <c r="F57" s="763"/>
      <c r="G57" s="763"/>
      <c r="H57" s="762"/>
      <c r="I57" s="762"/>
      <c r="J57" s="762"/>
      <c r="K57" s="1157"/>
      <c r="L57" s="1158"/>
      <c r="M57" s="1156"/>
      <c r="N57" s="1156"/>
      <c r="O57" s="1156"/>
      <c r="P57" s="2623"/>
      <c r="Q57" s="503"/>
    </row>
    <row r="58" spans="1:29" s="507" customFormat="1" ht="15">
      <c r="A58" s="504" t="s">
        <v>2582</v>
      </c>
      <c r="B58" s="505"/>
      <c r="C58" s="1573" t="str">
        <f>YEAR(C7)&amp;"-"&amp;MONTH(C7)</f>
        <v>2019-5</v>
      </c>
      <c r="D58" s="1572">
        <f>EDATE(C58,-1)</f>
        <v>43556</v>
      </c>
      <c r="E58" s="1572">
        <f>EDATE(D58,-1)</f>
        <v>43525</v>
      </c>
      <c r="F58" s="1572">
        <f t="shared" ref="F58:O58" si="19">EDATE(E58,-1)</f>
        <v>43497</v>
      </c>
      <c r="G58" s="1572">
        <f t="shared" si="19"/>
        <v>43466</v>
      </c>
      <c r="H58" s="1572">
        <f t="shared" si="19"/>
        <v>43435</v>
      </c>
      <c r="I58" s="1572">
        <f t="shared" si="19"/>
        <v>43405</v>
      </c>
      <c r="J58" s="1572">
        <f t="shared" si="19"/>
        <v>43374</v>
      </c>
      <c r="K58" s="1572">
        <f t="shared" si="19"/>
        <v>43344</v>
      </c>
      <c r="L58" s="1572">
        <f t="shared" si="19"/>
        <v>43313</v>
      </c>
      <c r="M58" s="1572">
        <f t="shared" si="19"/>
        <v>43282</v>
      </c>
      <c r="N58" s="1572">
        <f t="shared" si="19"/>
        <v>43252</v>
      </c>
      <c r="O58" s="1572">
        <f t="shared" si="19"/>
        <v>43221</v>
      </c>
      <c r="P58" s="1567"/>
    </row>
    <row r="59" spans="1:29" s="117" customFormat="1" ht="15">
      <c r="A59" s="508"/>
      <c r="B59" s="2624"/>
      <c r="C59" s="1570">
        <v>100</v>
      </c>
      <c r="D59" s="510"/>
      <c r="E59" s="511"/>
      <c r="F59" s="511"/>
      <c r="G59" s="511"/>
      <c r="H59" s="511"/>
      <c r="I59" s="511"/>
      <c r="J59" s="511"/>
      <c r="K59" s="511"/>
      <c r="L59" s="511"/>
      <c r="M59" s="512"/>
      <c r="N59" s="511"/>
      <c r="O59" s="512"/>
      <c r="P59" s="2625"/>
    </row>
    <row r="60" spans="1:29" s="117" customFormat="1" ht="15.75" thickBot="1">
      <c r="A60" s="514" t="s">
        <v>2583</v>
      </c>
      <c r="B60" s="515"/>
      <c r="C60" s="516"/>
      <c r="D60" s="517"/>
      <c r="E60" s="517"/>
      <c r="F60" s="517"/>
      <c r="G60" s="517"/>
      <c r="H60" s="517"/>
      <c r="I60" s="517"/>
      <c r="J60" s="517"/>
      <c r="K60" s="517"/>
      <c r="L60" s="517"/>
      <c r="M60" s="518"/>
      <c r="N60" s="517"/>
      <c r="O60" s="518"/>
      <c r="P60" s="2625"/>
      <c r="Q60" s="503"/>
    </row>
    <row r="61" spans="1:29" s="117" customFormat="1" ht="15">
      <c r="A61" s="520" t="s">
        <v>2584</v>
      </c>
      <c r="B61" s="509"/>
      <c r="C61" s="521" t="s">
        <v>2585</v>
      </c>
      <c r="D61" s="522"/>
      <c r="E61" s="522"/>
      <c r="F61" s="522"/>
      <c r="G61" s="522"/>
      <c r="H61" s="522"/>
      <c r="I61" s="522"/>
      <c r="J61" s="522"/>
      <c r="K61" s="522"/>
      <c r="L61" s="523"/>
      <c r="M61" s="524"/>
      <c r="N61" s="1148"/>
      <c r="O61" s="1148"/>
      <c r="P61" s="2626"/>
      <c r="Q61" s="503"/>
    </row>
    <row r="62" spans="1:29" s="117" customFormat="1" ht="15.75" thickBot="1">
      <c r="A62" s="520"/>
      <c r="B62" s="509"/>
      <c r="C62" s="510">
        <v>100</v>
      </c>
      <c r="D62" s="511"/>
      <c r="E62" s="511"/>
      <c r="F62" s="511"/>
      <c r="G62" s="511"/>
      <c r="H62" s="511"/>
      <c r="I62" s="511"/>
      <c r="J62" s="511"/>
      <c r="K62" s="511"/>
      <c r="L62" s="511"/>
      <c r="M62" s="513"/>
      <c r="N62" s="1148"/>
      <c r="O62" s="1148"/>
      <c r="P62" s="2625"/>
      <c r="Q62" s="503"/>
    </row>
    <row r="63" spans="1:29">
      <c r="A63" s="526" t="s">
        <v>2586</v>
      </c>
      <c r="B63" s="527" t="s">
        <v>2552</v>
      </c>
      <c r="C63" s="528">
        <f>C9</f>
        <v>0</v>
      </c>
      <c r="D63" s="529"/>
      <c r="E63" s="529"/>
      <c r="F63" s="529"/>
      <c r="G63" s="529"/>
      <c r="H63" s="529"/>
      <c r="I63" s="529"/>
      <c r="J63" s="529"/>
      <c r="K63" s="530"/>
      <c r="L63" s="531"/>
      <c r="M63" s="532"/>
      <c r="N63" s="1149"/>
      <c r="O63" s="1149"/>
      <c r="P63" s="2627"/>
      <c r="Q63" s="503"/>
    </row>
    <row r="64" spans="1:29" ht="15.75" thickBot="1">
      <c r="A64" s="533"/>
      <c r="B64" s="534"/>
      <c r="C64" s="535">
        <v>100</v>
      </c>
      <c r="D64" s="535"/>
      <c r="E64" s="535"/>
      <c r="F64" s="535"/>
      <c r="G64" s="535"/>
      <c r="H64" s="535"/>
      <c r="I64" s="535"/>
      <c r="J64" s="535"/>
      <c r="K64" s="535"/>
      <c r="L64" s="535"/>
      <c r="M64" s="536"/>
      <c r="N64" s="1150"/>
      <c r="O64" s="1150"/>
      <c r="P64" s="2627"/>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9"/>
      <c r="O65" s="1149"/>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7"/>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7"/>
      <c r="Q67" s="503"/>
    </row>
    <row r="68" spans="1:17" ht="15">
      <c r="A68" s="533"/>
      <c r="B68" s="547"/>
      <c r="C68" s="548"/>
      <c r="D68" s="548"/>
      <c r="E68" s="548"/>
      <c r="F68" s="548"/>
      <c r="G68" s="548"/>
      <c r="H68" s="548"/>
      <c r="I68" s="548"/>
      <c r="J68" s="548"/>
      <c r="K68" s="549"/>
      <c r="L68" s="550"/>
      <c r="M68" s="551"/>
      <c r="N68" s="1149"/>
      <c r="O68" s="1149"/>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7"/>
      <c r="Q69" s="503"/>
    </row>
    <row r="70" spans="1:17" s="470" customFormat="1" ht="15.75" thickTop="1">
      <c r="A70" s="552"/>
      <c r="B70" s="537">
        <f>B12</f>
        <v>111</v>
      </c>
      <c r="C70" s="553"/>
      <c r="D70" s="553"/>
      <c r="E70" s="553"/>
      <c r="F70" s="553"/>
      <c r="G70" s="553"/>
      <c r="H70" s="554"/>
      <c r="I70" s="554"/>
      <c r="J70" s="554"/>
      <c r="K70" s="554"/>
      <c r="L70" s="555"/>
      <c r="M70" s="556"/>
      <c r="N70" s="1151"/>
      <c r="O70" s="1151"/>
      <c r="P70" s="2628"/>
      <c r="Q70" s="558"/>
    </row>
    <row r="71" spans="1:17" s="470" customFormat="1" ht="15.75" thickBot="1">
      <c r="A71" s="552"/>
      <c r="B71" s="542"/>
      <c r="C71" s="559"/>
      <c r="D71" s="535"/>
      <c r="E71" s="535"/>
      <c r="F71" s="535"/>
      <c r="G71" s="535"/>
      <c r="H71" s="535"/>
      <c r="I71" s="535"/>
      <c r="J71" s="535"/>
      <c r="K71" s="535"/>
      <c r="L71" s="535"/>
      <c r="M71" s="536"/>
      <c r="N71" s="1150"/>
      <c r="O71" s="1150"/>
      <c r="P71" s="2628"/>
      <c r="Q71" s="558"/>
    </row>
    <row r="72" spans="1:17" s="470" customFormat="1" ht="15.75" thickTop="1">
      <c r="A72" s="552"/>
      <c r="B72" s="537">
        <f>B13</f>
        <v>111</v>
      </c>
      <c r="C72" s="553"/>
      <c r="D72" s="553"/>
      <c r="E72" s="553"/>
      <c r="F72" s="553"/>
      <c r="G72" s="553"/>
      <c r="H72" s="554"/>
      <c r="I72" s="554"/>
      <c r="J72" s="554"/>
      <c r="K72" s="554"/>
      <c r="L72" s="555"/>
      <c r="M72" s="556"/>
      <c r="N72" s="1151"/>
      <c r="O72" s="1151"/>
      <c r="P72" s="2629"/>
      <c r="Q72" s="560"/>
    </row>
    <row r="73" spans="1:17" s="470" customFormat="1" ht="15.75" thickBot="1">
      <c r="A73" s="552"/>
      <c r="B73" s="542"/>
      <c r="C73" s="559"/>
      <c r="D73" s="559"/>
      <c r="E73" s="559"/>
      <c r="F73" s="559"/>
      <c r="G73" s="559"/>
      <c r="H73" s="561"/>
      <c r="I73" s="561"/>
      <c r="J73" s="561"/>
      <c r="K73" s="561"/>
      <c r="L73" s="561"/>
      <c r="M73" s="562"/>
      <c r="N73" s="1151"/>
      <c r="O73" s="1151"/>
      <c r="P73" s="2628"/>
      <c r="Q73" s="558"/>
    </row>
    <row r="74" spans="1:17" s="470" customFormat="1" ht="15.75" thickTop="1">
      <c r="A74" s="552"/>
      <c r="B74" s="545">
        <f>B14</f>
        <v>111</v>
      </c>
      <c r="C74" s="553"/>
      <c r="D74" s="553"/>
      <c r="E74" s="553"/>
      <c r="F74" s="553"/>
      <c r="G74" s="522"/>
      <c r="H74" s="563"/>
      <c r="I74" s="563"/>
      <c r="J74" s="563"/>
      <c r="K74" s="563"/>
      <c r="L74" s="564"/>
      <c r="M74" s="565"/>
      <c r="N74" s="1151"/>
      <c r="O74" s="1151"/>
      <c r="P74" s="2630"/>
      <c r="Q74" s="558"/>
    </row>
    <row r="75" spans="1:17" s="470" customFormat="1" ht="15.75" thickBot="1">
      <c r="A75" s="567"/>
      <c r="B75" s="568"/>
      <c r="C75" s="569"/>
      <c r="D75" s="569"/>
      <c r="E75" s="569"/>
      <c r="F75" s="569"/>
      <c r="G75" s="569"/>
      <c r="H75" s="570"/>
      <c r="I75" s="570"/>
      <c r="J75" s="570"/>
      <c r="K75" s="570"/>
      <c r="L75" s="570"/>
      <c r="M75" s="571"/>
      <c r="N75" s="1151"/>
      <c r="O75" s="1151"/>
      <c r="P75" s="2628"/>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49"/>
      <c r="O76" s="1149"/>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7"/>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9"/>
      <c r="O78" s="1149"/>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7"/>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9"/>
      <c r="O80" s="1149"/>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7"/>
      <c r="Q81" s="503"/>
    </row>
    <row r="82" spans="1:17" ht="15.75" thickTop="1">
      <c r="A82" s="533"/>
      <c r="B82" s="545" t="s">
        <v>2095</v>
      </c>
      <c r="C82" s="538" t="s">
        <v>2602</v>
      </c>
      <c r="D82" s="538" t="s">
        <v>2603</v>
      </c>
      <c r="E82" s="538" t="s">
        <v>2604</v>
      </c>
      <c r="F82" s="538" t="s">
        <v>2605</v>
      </c>
      <c r="G82" s="538" t="s">
        <v>2606</v>
      </c>
      <c r="H82" s="538"/>
      <c r="I82" s="538"/>
      <c r="J82" s="538"/>
      <c r="K82" s="538"/>
      <c r="L82" s="538"/>
      <c r="M82" s="1379"/>
      <c r="N82" s="1150"/>
      <c r="O82" s="1150"/>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7"/>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9"/>
      <c r="O84" s="1149"/>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7"/>
      <c r="Q85" s="503"/>
    </row>
    <row r="86" spans="1:17" s="117" customFormat="1" ht="15.75" thickTop="1">
      <c r="A86" s="578"/>
      <c r="B86" s="537" t="s">
        <v>2608</v>
      </c>
      <c r="C86" s="553"/>
      <c r="D86" s="553"/>
      <c r="E86" s="553"/>
      <c r="F86" s="553"/>
      <c r="G86" s="553"/>
      <c r="H86" s="553"/>
      <c r="I86" s="553"/>
      <c r="J86" s="553"/>
      <c r="K86" s="553"/>
      <c r="L86" s="579"/>
      <c r="M86" s="580"/>
      <c r="N86" s="1148"/>
      <c r="O86" s="1148"/>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7"/>
      <c r="Q87" s="503"/>
    </row>
    <row r="88" spans="1:17" s="117" customFormat="1" ht="15.75" thickTop="1">
      <c r="A88" s="578"/>
      <c r="B88" s="537" t="s">
        <v>2609</v>
      </c>
      <c r="C88" s="553"/>
      <c r="D88" s="553"/>
      <c r="E88" s="553"/>
      <c r="F88" s="2632"/>
      <c r="G88" s="553"/>
      <c r="H88" s="553"/>
      <c r="I88" s="553"/>
      <c r="J88" s="553"/>
      <c r="K88" s="553"/>
      <c r="L88" s="553"/>
      <c r="M88" s="580"/>
      <c r="N88" s="1148"/>
      <c r="O88" s="1148"/>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7"/>
      <c r="Q89" s="503"/>
    </row>
    <row r="90" spans="1:17" s="470" customFormat="1" ht="15.75" thickTop="1">
      <c r="A90" s="552"/>
      <c r="B90" s="537">
        <f>B27</f>
        <v>111</v>
      </c>
      <c r="C90" s="553"/>
      <c r="D90" s="553"/>
      <c r="E90" s="553"/>
      <c r="F90" s="553"/>
      <c r="G90" s="553"/>
      <c r="H90" s="554"/>
      <c r="I90" s="554"/>
      <c r="J90" s="554"/>
      <c r="K90" s="554"/>
      <c r="L90" s="555"/>
      <c r="M90" s="556"/>
      <c r="N90" s="1151"/>
      <c r="O90" s="1151"/>
      <c r="P90" s="2628"/>
      <c r="Q90" s="558"/>
    </row>
    <row r="91" spans="1:17" s="470" customFormat="1" ht="15.75" thickBot="1">
      <c r="A91" s="552"/>
      <c r="B91" s="542"/>
      <c r="C91" s="559"/>
      <c r="D91" s="559"/>
      <c r="E91" s="559"/>
      <c r="F91" s="559"/>
      <c r="G91" s="559"/>
      <c r="H91" s="561"/>
      <c r="I91" s="561"/>
      <c r="J91" s="561"/>
      <c r="K91" s="561"/>
      <c r="L91" s="561"/>
      <c r="M91" s="562"/>
      <c r="N91" s="1151"/>
      <c r="O91" s="1151"/>
      <c r="P91" s="2628"/>
      <c r="Q91" s="558"/>
    </row>
    <row r="92" spans="1:17" ht="15.75" thickTop="1">
      <c r="A92" s="533"/>
      <c r="B92" s="537">
        <f>B28</f>
        <v>111</v>
      </c>
      <c r="C92" s="553"/>
      <c r="D92" s="553"/>
      <c r="E92" s="553"/>
      <c r="F92" s="553"/>
      <c r="G92" s="582"/>
      <c r="H92" s="582"/>
      <c r="I92" s="582"/>
      <c r="J92" s="582"/>
      <c r="K92" s="583"/>
      <c r="L92" s="584"/>
      <c r="M92" s="585"/>
      <c r="N92" s="1149"/>
      <c r="O92" s="1149"/>
      <c r="P92" s="2627"/>
      <c r="Q92" s="503"/>
    </row>
    <row r="93" spans="1:17" ht="15.75" thickBot="1">
      <c r="A93" s="533"/>
      <c r="B93" s="542"/>
      <c r="C93" s="559"/>
      <c r="D93" s="535"/>
      <c r="E93" s="535"/>
      <c r="F93" s="535"/>
      <c r="G93" s="535"/>
      <c r="H93" s="535"/>
      <c r="I93" s="535"/>
      <c r="J93" s="535"/>
      <c r="K93" s="535"/>
      <c r="L93" s="535"/>
      <c r="M93" s="536"/>
      <c r="N93" s="1150"/>
      <c r="O93" s="1150"/>
      <c r="P93" s="2627"/>
      <c r="Q93" s="503"/>
    </row>
    <row r="94" spans="1:17" ht="15.75" thickTop="1">
      <c r="A94" s="533"/>
      <c r="B94" s="537">
        <f>B29</f>
        <v>111</v>
      </c>
      <c r="C94" s="553"/>
      <c r="D94" s="553"/>
      <c r="E94" s="553"/>
      <c r="F94" s="553"/>
      <c r="G94" s="582"/>
      <c r="H94" s="582"/>
      <c r="I94" s="582"/>
      <c r="J94" s="582"/>
      <c r="K94" s="583"/>
      <c r="L94" s="584"/>
      <c r="M94" s="585"/>
      <c r="N94" s="1149"/>
      <c r="O94" s="1149"/>
      <c r="P94" s="2627"/>
      <c r="Q94" s="503"/>
    </row>
    <row r="95" spans="1:17" ht="15.75" thickBot="1">
      <c r="A95" s="533"/>
      <c r="B95" s="542"/>
      <c r="C95" s="559"/>
      <c r="D95" s="559"/>
      <c r="E95" s="559"/>
      <c r="F95" s="559"/>
      <c r="G95" s="535"/>
      <c r="H95" s="535"/>
      <c r="I95" s="535"/>
      <c r="J95" s="535"/>
      <c r="K95" s="535"/>
      <c r="L95" s="535"/>
      <c r="M95" s="536"/>
      <c r="N95" s="1150"/>
      <c r="O95" s="1150"/>
      <c r="P95" s="2627"/>
      <c r="Q95" s="503"/>
    </row>
    <row r="96" spans="1:17" ht="15.75" thickTop="1">
      <c r="A96" s="533"/>
      <c r="B96" s="537">
        <f>B30</f>
        <v>111</v>
      </c>
      <c r="C96" s="553"/>
      <c r="D96" s="553"/>
      <c r="E96" s="553"/>
      <c r="F96" s="553"/>
      <c r="G96" s="582"/>
      <c r="H96" s="582"/>
      <c r="I96" s="582"/>
      <c r="J96" s="582"/>
      <c r="K96" s="583"/>
      <c r="L96" s="584"/>
      <c r="M96" s="585"/>
      <c r="N96" s="1149"/>
      <c r="O96" s="1149"/>
      <c r="P96" s="2627"/>
      <c r="Q96" s="503"/>
    </row>
    <row r="97" spans="1:17" ht="15.75" thickBot="1">
      <c r="A97" s="533"/>
      <c r="B97" s="542"/>
      <c r="C97" s="569"/>
      <c r="D97" s="569"/>
      <c r="E97" s="569"/>
      <c r="F97" s="569"/>
      <c r="G97" s="535"/>
      <c r="H97" s="535"/>
      <c r="I97" s="535"/>
      <c r="J97" s="535"/>
      <c r="K97" s="535"/>
      <c r="L97" s="535"/>
      <c r="M97" s="536"/>
      <c r="N97" s="1150"/>
      <c r="O97" s="1150"/>
      <c r="P97" s="2627"/>
      <c r="Q97" s="503"/>
    </row>
    <row r="98" spans="1:17" ht="15.75" thickTop="1">
      <c r="A98" s="533"/>
      <c r="B98" s="545">
        <f>B31</f>
        <v>111</v>
      </c>
      <c r="C98" s="586"/>
      <c r="D98" s="586"/>
      <c r="E98" s="586"/>
      <c r="F98" s="586"/>
      <c r="G98" s="586"/>
      <c r="H98" s="586"/>
      <c r="I98" s="586"/>
      <c r="J98" s="586"/>
      <c r="K98" s="587"/>
      <c r="L98" s="588"/>
      <c r="M98" s="589"/>
      <c r="N98" s="1149"/>
      <c r="O98" s="1149"/>
      <c r="P98" s="2627"/>
      <c r="Q98" s="503"/>
    </row>
    <row r="99" spans="1:17" ht="15.75" thickBot="1">
      <c r="A99" s="2633"/>
      <c r="B99" s="568"/>
      <c r="C99" s="590"/>
      <c r="D99" s="590"/>
      <c r="E99" s="590"/>
      <c r="F99" s="590"/>
      <c r="G99" s="590"/>
      <c r="H99" s="590"/>
      <c r="I99" s="590"/>
      <c r="J99" s="590"/>
      <c r="K99" s="590"/>
      <c r="L99" s="590"/>
      <c r="M99" s="591"/>
      <c r="N99" s="1150"/>
      <c r="O99" s="1150"/>
      <c r="P99" s="2627"/>
      <c r="Q99" s="503"/>
    </row>
    <row r="100" spans="1:17">
      <c r="A100" s="526" t="s">
        <v>2561</v>
      </c>
      <c r="B100" s="527" t="s">
        <v>2610</v>
      </c>
      <c r="C100" s="529"/>
      <c r="D100" s="529"/>
      <c r="E100" s="529"/>
      <c r="F100" s="529"/>
      <c r="G100" s="529"/>
      <c r="H100" s="529"/>
      <c r="I100" s="529"/>
      <c r="J100" s="529"/>
      <c r="K100" s="530"/>
      <c r="L100" s="531"/>
      <c r="M100" s="532"/>
      <c r="N100" s="1149"/>
      <c r="O100" s="1149"/>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7"/>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7"/>
      <c r="Q102" s="503"/>
    </row>
    <row r="103" spans="1:17" s="470" customFormat="1">
      <c r="A103" s="592"/>
      <c r="B103" s="593"/>
      <c r="C103" s="594"/>
      <c r="D103" s="594"/>
      <c r="E103" s="594"/>
      <c r="F103" s="594"/>
      <c r="G103" s="594"/>
      <c r="H103" s="594"/>
      <c r="I103" s="594"/>
      <c r="J103" s="595"/>
      <c r="K103" s="595"/>
      <c r="L103" s="596"/>
      <c r="M103" s="597"/>
      <c r="N103" s="1151"/>
      <c r="O103" s="1151"/>
      <c r="P103" s="2628"/>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8"/>
      <c r="Q104" s="558"/>
    </row>
    <row r="105" spans="1:17" ht="15" thickTop="1">
      <c r="A105" s="598"/>
      <c r="B105" s="537" t="s">
        <v>2612</v>
      </c>
      <c r="C105" s="553"/>
      <c r="D105" s="553"/>
      <c r="E105" s="582"/>
      <c r="F105" s="582"/>
      <c r="G105" s="582"/>
      <c r="H105" s="582"/>
      <c r="I105" s="582"/>
      <c r="J105" s="582"/>
      <c r="K105" s="583"/>
      <c r="L105" s="584"/>
      <c r="M105" s="585"/>
      <c r="N105" s="1149"/>
      <c r="O105" s="1149"/>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7"/>
      <c r="Q106" s="503"/>
    </row>
    <row r="107" spans="1:17" ht="15" thickTop="1">
      <c r="A107" s="598"/>
      <c r="B107" s="537" t="s">
        <v>2613</v>
      </c>
      <c r="C107" s="582"/>
      <c r="D107" s="582"/>
      <c r="E107" s="582"/>
      <c r="F107" s="582"/>
      <c r="G107" s="582"/>
      <c r="H107" s="582"/>
      <c r="I107" s="582"/>
      <c r="J107" s="582"/>
      <c r="K107" s="583"/>
      <c r="L107" s="584"/>
      <c r="M107" s="585"/>
      <c r="N107" s="1149"/>
      <c r="O107" s="1149"/>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7"/>
      <c r="Q108" s="503"/>
    </row>
    <row r="109" spans="1:17" ht="15" thickTop="1">
      <c r="A109" s="598"/>
      <c r="B109" s="537" t="s">
        <v>2614</v>
      </c>
      <c r="C109" s="553"/>
      <c r="D109" s="553"/>
      <c r="E109" s="553"/>
      <c r="F109" s="582"/>
      <c r="G109" s="582"/>
      <c r="H109" s="582"/>
      <c r="I109" s="582"/>
      <c r="J109" s="582"/>
      <c r="K109" s="583"/>
      <c r="L109" s="584"/>
      <c r="M109" s="585"/>
      <c r="N109" s="1149"/>
      <c r="O109" s="1149"/>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7"/>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8"/>
      <c r="Q113" s="558"/>
    </row>
    <row r="114" spans="1:17" ht="15" thickTop="1">
      <c r="A114" s="598"/>
      <c r="B114" s="537" t="s">
        <v>2615</v>
      </c>
      <c r="C114" s="553"/>
      <c r="D114" s="553"/>
      <c r="E114" s="582"/>
      <c r="F114" s="582"/>
      <c r="G114" s="582"/>
      <c r="H114" s="582"/>
      <c r="I114" s="582"/>
      <c r="J114" s="582"/>
      <c r="K114" s="583"/>
      <c r="L114" s="584"/>
      <c r="M114" s="585"/>
      <c r="N114" s="1149"/>
      <c r="O114" s="1149"/>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7"/>
      <c r="Q115" s="503"/>
    </row>
    <row r="116" spans="1:17" ht="15" thickTop="1">
      <c r="A116" s="598"/>
      <c r="B116" s="537" t="s">
        <v>2616</v>
      </c>
      <c r="C116" s="553"/>
      <c r="D116" s="553"/>
      <c r="E116" s="553"/>
      <c r="F116" s="553"/>
      <c r="G116" s="553"/>
      <c r="H116" s="582"/>
      <c r="I116" s="582"/>
      <c r="J116" s="582"/>
      <c r="K116" s="583"/>
      <c r="L116" s="584"/>
      <c r="M116" s="585"/>
      <c r="N116" s="1149"/>
      <c r="O116" s="1149"/>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7"/>
      <c r="Q117" s="503"/>
    </row>
    <row r="118" spans="1:17" ht="15" thickTop="1">
      <c r="A118" s="598"/>
      <c r="B118" s="537" t="s">
        <v>2617</v>
      </c>
      <c r="C118" s="582"/>
      <c r="D118" s="582"/>
      <c r="E118" s="582"/>
      <c r="F118" s="582"/>
      <c r="G118" s="582"/>
      <c r="H118" s="582"/>
      <c r="I118" s="582"/>
      <c r="J118" s="582"/>
      <c r="K118" s="583"/>
      <c r="L118" s="584"/>
      <c r="M118" s="585"/>
      <c r="N118" s="1149"/>
      <c r="O118" s="1149"/>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7"/>
      <c r="Q119" s="503"/>
    </row>
    <row r="120" spans="1:17" s="470" customFormat="1" ht="28.5" thickTop="1">
      <c r="A120" s="592"/>
      <c r="B120" s="537" t="s">
        <v>2572</v>
      </c>
      <c r="C120" s="553"/>
      <c r="D120" s="553"/>
      <c r="E120" s="553"/>
      <c r="F120" s="553"/>
      <c r="G120" s="553"/>
      <c r="H120" s="553"/>
      <c r="I120" s="553"/>
      <c r="J120" s="553"/>
      <c r="K120" s="553"/>
      <c r="L120" s="579"/>
      <c r="M120" s="580"/>
      <c r="N120" s="1151"/>
      <c r="O120" s="1151"/>
      <c r="P120" s="2628"/>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8"/>
      <c r="Q121" s="558"/>
    </row>
    <row r="122" spans="1:17" ht="15" thickTop="1">
      <c r="A122" s="598"/>
      <c r="B122" s="537" t="s">
        <v>2618</v>
      </c>
      <c r="C122" s="553"/>
      <c r="D122" s="553"/>
      <c r="E122" s="553"/>
      <c r="F122" s="582"/>
      <c r="G122" s="582"/>
      <c r="H122" s="582"/>
      <c r="I122" s="582"/>
      <c r="J122" s="582"/>
      <c r="K122" s="583"/>
      <c r="L122" s="584"/>
      <c r="M122" s="585"/>
      <c r="N122" s="1149"/>
      <c r="O122" s="1149"/>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7"/>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9"/>
      <c r="O124" s="1149"/>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7"/>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8"/>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8"/>
      <c r="Q127" s="558"/>
    </row>
    <row r="128" spans="1:17" ht="15" thickTop="1">
      <c r="A128" s="598"/>
      <c r="B128" s="537">
        <f>B45</f>
        <v>111</v>
      </c>
      <c r="C128" s="553"/>
      <c r="D128" s="553"/>
      <c r="E128" s="553"/>
      <c r="F128" s="553"/>
      <c r="G128" s="582"/>
      <c r="H128" s="582"/>
      <c r="I128" s="582"/>
      <c r="J128" s="582"/>
      <c r="K128" s="583"/>
      <c r="L128" s="584"/>
      <c r="M128" s="585"/>
      <c r="N128" s="1149"/>
      <c r="O128" s="1149"/>
      <c r="P128" s="2627"/>
      <c r="Q128" s="503"/>
    </row>
    <row r="129" spans="1:17" ht="15.75" thickBot="1">
      <c r="A129" s="533"/>
      <c r="B129" s="542"/>
      <c r="C129" s="559"/>
      <c r="D129" s="559"/>
      <c r="E129" s="559"/>
      <c r="F129" s="559"/>
      <c r="G129" s="535"/>
      <c r="H129" s="535"/>
      <c r="I129" s="535"/>
      <c r="J129" s="535"/>
      <c r="K129" s="535"/>
      <c r="L129" s="535"/>
      <c r="M129" s="536"/>
      <c r="N129" s="1150"/>
      <c r="O129" s="1150"/>
      <c r="P129" s="2627"/>
      <c r="Q129" s="503"/>
    </row>
    <row r="130" spans="1:17" ht="15" thickTop="1">
      <c r="A130" s="598"/>
      <c r="B130" s="545">
        <f>B46</f>
        <v>111</v>
      </c>
      <c r="C130" s="553"/>
      <c r="D130" s="553"/>
      <c r="E130" s="553"/>
      <c r="F130" s="553"/>
      <c r="G130" s="586"/>
      <c r="H130" s="586"/>
      <c r="I130" s="586"/>
      <c r="J130" s="586"/>
      <c r="K130" s="522"/>
      <c r="L130" s="523"/>
      <c r="M130" s="589"/>
      <c r="N130" s="1149"/>
      <c r="O130" s="1149"/>
      <c r="P130" s="2627"/>
      <c r="Q130" s="503"/>
    </row>
    <row r="131" spans="1:17" ht="15.75" thickBot="1">
      <c r="A131" s="2633"/>
      <c r="B131" s="568"/>
      <c r="C131" s="569"/>
      <c r="D131" s="569"/>
      <c r="E131" s="569"/>
      <c r="F131" s="569"/>
      <c r="G131" s="590"/>
      <c r="H131" s="590"/>
      <c r="I131" s="590"/>
      <c r="J131" s="590"/>
      <c r="K131" s="590"/>
      <c r="L131" s="590"/>
      <c r="M131" s="591"/>
      <c r="N131" s="1150"/>
      <c r="O131" s="1150"/>
      <c r="P131" s="2627"/>
      <c r="Q131" s="503"/>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5" t="s">
        <v>2623</v>
      </c>
      <c r="D138" s="145" t="s">
        <v>2624</v>
      </c>
      <c r="E138" s="2642" t="s">
        <v>2625</v>
      </c>
      <c r="F138" s="2643" t="s">
        <v>2626</v>
      </c>
      <c r="G138" s="145" t="s">
        <v>2624</v>
      </c>
      <c r="H138" s="146" t="s">
        <v>2625</v>
      </c>
      <c r="I138" s="2644"/>
      <c r="J138" s="145" t="s">
        <v>2627</v>
      </c>
      <c r="K138" s="146" t="s">
        <v>2628</v>
      </c>
    </row>
    <row r="139" spans="1:17" ht="15">
      <c r="B139" s="1081">
        <v>6</v>
      </c>
      <c r="C139" s="1082">
        <v>96</v>
      </c>
      <c r="D139" s="2645" t="s">
        <v>2629</v>
      </c>
      <c r="E139" s="1083">
        <v>100</v>
      </c>
      <c r="F139" s="1084">
        <v>102.5</v>
      </c>
      <c r="G139" s="2645" t="s">
        <v>2629</v>
      </c>
      <c r="H139" s="1085">
        <v>105</v>
      </c>
      <c r="I139" s="2646" t="s">
        <v>2630</v>
      </c>
      <c r="J139" s="1082">
        <v>20</v>
      </c>
      <c r="K139" s="1086">
        <f>C145/(J139-2)</f>
        <v>4.0555555555555553E-3</v>
      </c>
    </row>
    <row r="140" spans="1:17" ht="15">
      <c r="B140" s="1087">
        <v>5</v>
      </c>
      <c r="C140" s="1088">
        <v>100</v>
      </c>
      <c r="D140" s="1088"/>
      <c r="E140" s="1089"/>
      <c r="F140" s="1090">
        <v>102</v>
      </c>
      <c r="G140" s="1088"/>
      <c r="H140" s="1091"/>
      <c r="I140" s="2647" t="s">
        <v>2631</v>
      </c>
      <c r="J140" s="314">
        <f>ROUNDUP((J139-1)/2,0)</f>
        <v>10</v>
      </c>
      <c r="K140" s="1092">
        <v>100</v>
      </c>
    </row>
    <row r="141" spans="1:17" ht="15">
      <c r="B141" s="1087">
        <v>4</v>
      </c>
      <c r="C141" s="1088">
        <v>102</v>
      </c>
      <c r="D141" s="1088"/>
      <c r="E141" s="1089"/>
      <c r="F141" s="1090">
        <v>101.5</v>
      </c>
      <c r="G141" s="1088"/>
      <c r="H141" s="1091"/>
      <c r="I141" s="2647" t="s">
        <v>2632</v>
      </c>
      <c r="J141" s="314">
        <v>1</v>
      </c>
      <c r="K141" s="1093">
        <f>ROUND(100+(J141-J140)*K139*100,1)</f>
        <v>96.4</v>
      </c>
    </row>
    <row r="142" spans="1:17" ht="15">
      <c r="B142" s="1087">
        <v>3</v>
      </c>
      <c r="C142" s="1088">
        <v>103</v>
      </c>
      <c r="D142" s="1088"/>
      <c r="E142" s="1089"/>
      <c r="F142" s="1090">
        <v>101</v>
      </c>
      <c r="G142" s="1088"/>
      <c r="H142" s="1091"/>
      <c r="I142" s="2647" t="s">
        <v>2633</v>
      </c>
      <c r="J142" s="314">
        <f>J139</f>
        <v>20</v>
      </c>
      <c r="K142" s="1094">
        <v>95</v>
      </c>
    </row>
    <row r="143" spans="1:17" ht="15">
      <c r="B143" s="1087">
        <v>2</v>
      </c>
      <c r="C143" s="1088">
        <v>100</v>
      </c>
      <c r="D143" s="1088"/>
      <c r="E143" s="1089"/>
      <c r="F143" s="1090">
        <v>100.5</v>
      </c>
      <c r="G143" s="1088"/>
      <c r="H143" s="1091"/>
      <c r="I143" s="2647" t="s">
        <v>2634</v>
      </c>
      <c r="J143" s="1088">
        <v>15</v>
      </c>
      <c r="K143" s="1093">
        <f>ROUND(100+(J143-J140)*K139*100,1)</f>
        <v>102</v>
      </c>
    </row>
    <row r="144" spans="1:17" ht="15">
      <c r="B144" s="1087">
        <v>1</v>
      </c>
      <c r="C144" s="1088">
        <v>98</v>
      </c>
      <c r="D144" s="2648" t="s">
        <v>2635</v>
      </c>
      <c r="E144" s="1089">
        <v>102</v>
      </c>
      <c r="F144" s="1095">
        <v>100</v>
      </c>
      <c r="G144" s="2648" t="s">
        <v>2635</v>
      </c>
      <c r="H144" s="1091">
        <v>105</v>
      </c>
      <c r="I144" s="2647" t="s">
        <v>2634</v>
      </c>
      <c r="J144" s="1088">
        <v>18</v>
      </c>
      <c r="K144" s="1093">
        <f>ROUND(100+(J144-J140)*K139*100,1)</f>
        <v>103.2</v>
      </c>
    </row>
    <row r="145" spans="2:11" ht="15.75" thickBot="1">
      <c r="B145" s="2649" t="s">
        <v>2636</v>
      </c>
      <c r="C145" s="1096">
        <f>ROUND(MAX(C139:C144)/MIN(C139:C144)-1,3)</f>
        <v>7.2999999999999995E-2</v>
      </c>
      <c r="D145" s="1097"/>
      <c r="E145" s="1097"/>
      <c r="F145" s="2650" t="s">
        <v>2637</v>
      </c>
      <c r="G145" s="2651"/>
      <c r="H145" s="2652"/>
      <c r="I145" s="2653" t="s">
        <v>2634</v>
      </c>
      <c r="J145" s="1098">
        <v>8</v>
      </c>
      <c r="K145" s="1099">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9" t="s">
        <v>2640</v>
      </c>
      <c r="C1" s="1631" t="s">
        <v>2528</v>
      </c>
      <c r="D1" s="1618"/>
      <c r="E1" s="2654"/>
      <c r="F1" s="2581"/>
      <c r="G1" s="1628" t="s">
        <v>2641</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7" customFormat="1" ht="28.5" customHeight="1" thickTop="1">
      <c r="A2" s="1614" t="s">
        <v>2325</v>
      </c>
      <c r="B2" s="1415" t="e">
        <f ca="1">IF(C2="——",ROUND(C49*D3/10000,0),ROUND(C49*D3/10000,0)-D2)</f>
        <v>#DIV/0!</v>
      </c>
      <c r="C2" s="2583"/>
      <c r="D2" s="1362" t="e">
        <f ca="1">SUMIF(INDIRECT("'"&amp;F2&amp;"'"&amp;"!A:A"),"承租人权益价值",INDIRECT("'"&amp;F2&amp;"'"&amp;"!c:c"))</f>
        <v>#REF!</v>
      </c>
      <c r="E2" s="2584" t="s">
        <v>2326</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7" customFormat="1" ht="28.5" customHeight="1" thickBot="1">
      <c r="A3" s="246" t="s">
        <v>2327</v>
      </c>
      <c r="B3" s="608" t="e">
        <f ca="1">IF(C2="——",C49,ROUND(B2*10000/D3,0))</f>
        <v>#DIV/0!</v>
      </c>
      <c r="C3" s="399" t="s">
        <v>2642</v>
      </c>
      <c r="D3" s="398">
        <f>IF(D1="",'数据-汇总表'!E3,SUMIF('数据-汇总表'!$C19:$C33,D1,'数据-汇总表'!$E19:$E33))</f>
        <v>48967.92</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6" t="s">
        <v>2646</v>
      </c>
      <c r="AC4" s="3177" t="s">
        <v>2647</v>
      </c>
    </row>
    <row r="5" spans="1:29" ht="15">
      <c r="A5" s="403"/>
      <c r="B5" s="404"/>
      <c r="C5" s="3197" t="s">
        <v>2540</v>
      </c>
      <c r="D5" s="3198"/>
      <c r="E5" s="3204" t="s">
        <v>2541</v>
      </c>
      <c r="F5" s="3205"/>
      <c r="G5" s="3197" t="s">
        <v>2542</v>
      </c>
      <c r="H5" s="3198"/>
      <c r="I5" s="3197" t="s">
        <v>2543</v>
      </c>
      <c r="J5" s="3198"/>
      <c r="K5" s="609"/>
      <c r="L5" s="1127"/>
      <c r="M5" s="1128"/>
      <c r="N5" s="1128"/>
      <c r="O5" s="1128"/>
      <c r="P5" s="3185"/>
      <c r="Q5" s="3186"/>
      <c r="R5" s="3191"/>
      <c r="S5" s="3192"/>
      <c r="T5" s="3191"/>
      <c r="U5" s="3192"/>
      <c r="V5" s="3176"/>
      <c r="W5" s="3176"/>
      <c r="X5" s="1810"/>
      <c r="Y5" s="3191"/>
      <c r="Z5" s="3192"/>
      <c r="AA5" s="3178"/>
      <c r="AB5" s="3176"/>
      <c r="AC5" s="3178"/>
    </row>
    <row r="6" spans="1:29" ht="15.75" thickBot="1">
      <c r="A6" s="405"/>
      <c r="B6" s="406"/>
      <c r="C6" s="3195" t="s">
        <v>2544</v>
      </c>
      <c r="D6" s="3196"/>
      <c r="E6" s="3202" t="s">
        <v>2544</v>
      </c>
      <c r="F6" s="3203"/>
      <c r="G6" s="3195" t="s">
        <v>2544</v>
      </c>
      <c r="H6" s="3196"/>
      <c r="I6" s="3195" t="s">
        <v>2544</v>
      </c>
      <c r="J6" s="3196"/>
      <c r="K6" s="609" t="s">
        <v>2545</v>
      </c>
      <c r="L6" s="1127"/>
      <c r="M6" s="1128"/>
      <c r="N6" s="1128"/>
      <c r="O6" s="1128"/>
      <c r="P6" s="3187"/>
      <c r="Q6" s="3188"/>
      <c r="R6" s="3191"/>
      <c r="S6" s="3192"/>
      <c r="T6" s="3193"/>
      <c r="U6" s="3194"/>
      <c r="V6" s="3176"/>
      <c r="W6" s="3176"/>
      <c r="X6" s="1810"/>
      <c r="Y6" s="3193"/>
      <c r="Z6" s="3194"/>
      <c r="AA6" s="3179"/>
      <c r="AB6" s="3176"/>
      <c r="AC6" s="3179"/>
    </row>
    <row r="7" spans="1:29" s="117" customFormat="1" ht="15.75" thickBot="1">
      <c r="A7" s="407" t="s">
        <v>2546</v>
      </c>
      <c r="B7" s="408"/>
      <c r="C7" s="409">
        <f>'数据-取费表'!B2</f>
        <v>43615</v>
      </c>
      <c r="D7" s="410">
        <v>100</v>
      </c>
      <c r="E7" s="411"/>
      <c r="F7" s="412">
        <f>SUMIF(58:58,YEAR(E7)&amp;"-"&amp;MONTH(E7),59:59)</f>
        <v>0</v>
      </c>
      <c r="G7" s="411"/>
      <c r="H7" s="410">
        <f>SUMIF(58:58,YEAR(G7)&amp;"-"&amp;MONTH(G7),59:59)</f>
        <v>0</v>
      </c>
      <c r="I7" s="411"/>
      <c r="J7" s="410">
        <f>SUMIF(58:58,YEAR(I7)&amp;"-"&amp;MONTH(I7),59:59)</f>
        <v>0</v>
      </c>
      <c r="K7" s="610"/>
      <c r="L7" s="1129"/>
      <c r="M7" s="1130"/>
      <c r="N7" s="1130"/>
      <c r="O7" s="1130"/>
      <c r="P7" s="3199" t="s">
        <v>2547</v>
      </c>
      <c r="Q7" s="3201"/>
      <c r="R7" s="768" t="s">
        <v>17</v>
      </c>
      <c r="S7" s="769">
        <f t="shared" ref="S7:S15" si="0">F7</f>
        <v>0</v>
      </c>
      <c r="T7" s="768" t="s">
        <v>17</v>
      </c>
      <c r="U7" s="769">
        <f t="shared" ref="U7:U15" si="1">H7</f>
        <v>0</v>
      </c>
      <c r="V7" s="768" t="s">
        <v>17</v>
      </c>
      <c r="W7" s="769">
        <f t="shared" ref="W7:W15" si="2">J7</f>
        <v>0</v>
      </c>
      <c r="X7" s="770"/>
      <c r="Y7" s="3199" t="s">
        <v>2547</v>
      </c>
      <c r="Z7" s="3200"/>
      <c r="AA7" s="771" t="e">
        <f>D7/F7</f>
        <v>#DIV/0!</v>
      </c>
      <c r="AB7" s="771" t="e">
        <f>D7/H7</f>
        <v>#DIV/0!</v>
      </c>
      <c r="AC7" s="771" t="e">
        <f>D7/J7</f>
        <v>#DIV/0!</v>
      </c>
    </row>
    <row r="8" spans="1:29" s="117"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199" t="s">
        <v>2550</v>
      </c>
      <c r="Q8" s="3200"/>
      <c r="R8" s="768" t="s">
        <v>17</v>
      </c>
      <c r="S8" s="769">
        <f t="shared" si="0"/>
        <v>0</v>
      </c>
      <c r="T8" s="768" t="s">
        <v>17</v>
      </c>
      <c r="U8" s="769">
        <f t="shared" si="1"/>
        <v>0</v>
      </c>
      <c r="V8" s="768" t="s">
        <v>17</v>
      </c>
      <c r="W8" s="769">
        <f t="shared" si="2"/>
        <v>0</v>
      </c>
      <c r="X8" s="770"/>
      <c r="Y8" s="3199" t="s">
        <v>2550</v>
      </c>
      <c r="Z8" s="3200"/>
      <c r="AA8" s="771" t="e">
        <f t="shared" ref="AA8:AA46" si="3">D8/F8</f>
        <v>#DIV/0!</v>
      </c>
      <c r="AB8" s="771" t="e">
        <f t="shared" ref="AB8:AB46" si="4">D8/H8</f>
        <v>#DIV/0!</v>
      </c>
      <c r="AC8" s="771" t="e">
        <f t="shared" ref="AC8:AC46" si="5">D8/J8</f>
        <v>#DIV/0!</v>
      </c>
    </row>
    <row r="9" spans="1:29" s="117" customFormat="1">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169"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771">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169"/>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169"/>
      <c r="Q11" s="1792"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169"/>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69"/>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69"/>
      <c r="Q14" s="1792">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71.25">
      <c r="A15" s="439" t="s">
        <v>2557</v>
      </c>
      <c r="B15" s="69" t="s">
        <v>2651</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60" t="s">
        <v>2558</v>
      </c>
      <c r="Q15" s="1807" t="str">
        <f t="shared" si="6"/>
        <v>商业繁华度</v>
      </c>
      <c r="R15" s="772" t="s">
        <v>17</v>
      </c>
      <c r="S15" s="773">
        <f t="shared" si="0"/>
        <v>100</v>
      </c>
      <c r="T15" s="772" t="s">
        <v>17</v>
      </c>
      <c r="U15" s="773">
        <f t="shared" si="1"/>
        <v>100</v>
      </c>
      <c r="V15" s="772" t="s">
        <v>17</v>
      </c>
      <c r="W15" s="773">
        <f t="shared" si="2"/>
        <v>100</v>
      </c>
      <c r="X15" s="1810"/>
      <c r="Y15" s="3172" t="s">
        <v>2558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61"/>
      <c r="Q16" s="1807"/>
      <c r="R16" s="772"/>
      <c r="S16" s="773"/>
      <c r="T16" s="772"/>
      <c r="U16" s="773"/>
      <c r="V16" s="772"/>
      <c r="W16" s="773"/>
      <c r="X16" s="1810"/>
      <c r="Y16" s="3173"/>
      <c r="Z16" s="1811"/>
      <c r="AA16" s="1808">
        <v>1</v>
      </c>
      <c r="AB16" s="1808">
        <v>1</v>
      </c>
      <c r="AC16" s="1808">
        <v>1</v>
      </c>
    </row>
    <row r="17" spans="1:29" ht="85.5">
      <c r="A17" s="427"/>
      <c r="B17" s="450" t="s">
        <v>2094</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61"/>
      <c r="Q17" s="1807" t="str">
        <f>B17</f>
        <v>交通便捷度</v>
      </c>
      <c r="R17" s="772" t="s">
        <v>17</v>
      </c>
      <c r="S17" s="773">
        <f>F17</f>
        <v>100</v>
      </c>
      <c r="T17" s="772" t="s">
        <v>17</v>
      </c>
      <c r="U17" s="773">
        <f>H17</f>
        <v>100</v>
      </c>
      <c r="V17" s="772" t="s">
        <v>17</v>
      </c>
      <c r="W17" s="773">
        <f>J17</f>
        <v>100</v>
      </c>
      <c r="X17" s="1810"/>
      <c r="Y17" s="3173"/>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7"/>
      <c r="M18" s="1128"/>
      <c r="N18" s="1128"/>
      <c r="O18" s="1128"/>
      <c r="P18" s="3261"/>
      <c r="Q18" s="1807"/>
      <c r="R18" s="772"/>
      <c r="S18" s="773"/>
      <c r="T18" s="772"/>
      <c r="U18" s="773"/>
      <c r="V18" s="772"/>
      <c r="W18" s="773"/>
      <c r="X18" s="1810"/>
      <c r="Y18" s="3173"/>
      <c r="Z18" s="1811"/>
      <c r="AA18" s="1808">
        <v>1</v>
      </c>
      <c r="AB18" s="1808">
        <v>1</v>
      </c>
      <c r="AC18" s="1808">
        <v>1</v>
      </c>
    </row>
    <row r="19" spans="1:29" ht="42.75">
      <c r="A19" s="427"/>
      <c r="B19" s="450" t="s">
        <v>2652</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61"/>
      <c r="Q19" s="1807" t="str">
        <f>B19</f>
        <v>公共配套设施</v>
      </c>
      <c r="R19" s="772" t="s">
        <v>17</v>
      </c>
      <c r="S19" s="773">
        <f>F19</f>
        <v>100</v>
      </c>
      <c r="T19" s="772" t="s">
        <v>17</v>
      </c>
      <c r="U19" s="773">
        <f>H19</f>
        <v>100</v>
      </c>
      <c r="V19" s="772" t="s">
        <v>17</v>
      </c>
      <c r="W19" s="773">
        <f>J19</f>
        <v>100</v>
      </c>
      <c r="X19" s="1810"/>
      <c r="Y19" s="3173"/>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7"/>
      <c r="M20" s="1128"/>
      <c r="N20" s="1128"/>
      <c r="O20" s="1128"/>
      <c r="P20" s="3261"/>
      <c r="Q20" s="1807"/>
      <c r="R20" s="772"/>
      <c r="S20" s="773"/>
      <c r="T20" s="772"/>
      <c r="U20" s="773"/>
      <c r="V20" s="772"/>
      <c r="W20" s="773"/>
      <c r="X20" s="1810"/>
      <c r="Y20" s="3173"/>
      <c r="Z20" s="1811"/>
      <c r="AA20" s="1808">
        <v>1</v>
      </c>
      <c r="AB20" s="1808">
        <v>1</v>
      </c>
      <c r="AC20" s="1808">
        <v>1</v>
      </c>
    </row>
    <row r="21" spans="1:29" ht="28.5">
      <c r="A21" s="427"/>
      <c r="B21" s="1381" t="s">
        <v>2653</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61"/>
      <c r="Q21" s="1807" t="str">
        <f>B21</f>
        <v>基础设施水平</v>
      </c>
      <c r="R21" s="772" t="s">
        <v>17</v>
      </c>
      <c r="S21" s="773">
        <f>F21</f>
        <v>100</v>
      </c>
      <c r="T21" s="772" t="s">
        <v>17</v>
      </c>
      <c r="U21" s="773">
        <f>H21</f>
        <v>100</v>
      </c>
      <c r="V21" s="772" t="s">
        <v>17</v>
      </c>
      <c r="W21" s="773">
        <f>J21</f>
        <v>100</v>
      </c>
      <c r="X21" s="1810"/>
      <c r="Y21" s="3173"/>
      <c r="Z21" s="1811" t="str">
        <f>Q21</f>
        <v>基础设施水平</v>
      </c>
      <c r="AA21" s="1808">
        <f t="shared" ref="AA21" si="8">D21/F21</f>
        <v>1</v>
      </c>
      <c r="AB21" s="1808">
        <f t="shared" ref="AB21" si="9">D21/H21</f>
        <v>1</v>
      </c>
      <c r="AC21" s="1808">
        <f t="shared" ref="AC21" si="10">D21/J21</f>
        <v>1</v>
      </c>
    </row>
    <row r="22" spans="1:29" ht="15">
      <c r="A22" s="427"/>
      <c r="B22" s="1381"/>
      <c r="C22" s="2605"/>
      <c r="D22" s="447"/>
      <c r="E22" s="446"/>
      <c r="F22" s="448"/>
      <c r="G22" s="446"/>
      <c r="H22" s="447"/>
      <c r="I22" s="446"/>
      <c r="J22" s="447"/>
      <c r="K22" s="1380"/>
      <c r="L22" s="1137"/>
      <c r="M22" s="1128"/>
      <c r="N22" s="1128"/>
      <c r="O22" s="1128"/>
      <c r="P22" s="3261"/>
      <c r="Q22" s="1807"/>
      <c r="R22" s="772"/>
      <c r="S22" s="773"/>
      <c r="T22" s="772"/>
      <c r="U22" s="773"/>
      <c r="V22" s="772"/>
      <c r="W22" s="773"/>
      <c r="X22" s="1810"/>
      <c r="Y22" s="3173"/>
      <c r="Z22" s="1811"/>
      <c r="AA22" s="1808">
        <v>1</v>
      </c>
      <c r="AB22" s="1808">
        <v>1</v>
      </c>
      <c r="AC22" s="1808">
        <v>1</v>
      </c>
    </row>
    <row r="23" spans="1:29" ht="57">
      <c r="A23" s="427"/>
      <c r="B23" s="450" t="s">
        <v>2099</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61"/>
      <c r="Q23" s="1807" t="str">
        <f>B23</f>
        <v>自然及人文环境</v>
      </c>
      <c r="R23" s="772" t="s">
        <v>17</v>
      </c>
      <c r="S23" s="773">
        <f>F23</f>
        <v>100</v>
      </c>
      <c r="T23" s="772" t="s">
        <v>17</v>
      </c>
      <c r="U23" s="773">
        <f>H23</f>
        <v>100</v>
      </c>
      <c r="V23" s="772" t="s">
        <v>17</v>
      </c>
      <c r="W23" s="773">
        <f>J23</f>
        <v>100</v>
      </c>
      <c r="X23" s="1810"/>
      <c r="Y23" s="3173"/>
      <c r="Z23" s="1811" t="str">
        <f>Q23</f>
        <v>自然及人文环境</v>
      </c>
      <c r="AA23" s="1808">
        <f t="shared" si="3"/>
        <v>1</v>
      </c>
      <c r="AB23" s="1808">
        <f t="shared" si="4"/>
        <v>1</v>
      </c>
      <c r="AC23" s="1808">
        <f t="shared" si="5"/>
        <v>1</v>
      </c>
    </row>
    <row r="24" spans="1:29" ht="15">
      <c r="A24" s="427"/>
      <c r="B24" s="455"/>
      <c r="C24" s="446"/>
      <c r="D24" s="447"/>
      <c r="E24" s="2602"/>
      <c r="F24" s="448"/>
      <c r="G24" s="2601"/>
      <c r="H24" s="447"/>
      <c r="I24" s="2602"/>
      <c r="J24" s="447"/>
      <c r="K24" s="614"/>
      <c r="L24" s="1137"/>
      <c r="M24" s="1128"/>
      <c r="N24" s="1128"/>
      <c r="O24" s="1128"/>
      <c r="P24" s="3261"/>
      <c r="Q24" s="1807"/>
      <c r="R24" s="772"/>
      <c r="S24" s="773"/>
      <c r="T24" s="772"/>
      <c r="U24" s="773"/>
      <c r="V24" s="772"/>
      <c r="W24" s="773"/>
      <c r="X24" s="1810"/>
      <c r="Y24" s="3173"/>
      <c r="Z24" s="1811"/>
      <c r="AA24" s="1808">
        <v>1</v>
      </c>
      <c r="AB24" s="1808">
        <v>1</v>
      </c>
      <c r="AC24" s="1808">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61"/>
      <c r="Q25" s="1807" t="str">
        <f t="shared" ref="Q25:Q46" si="11">B25</f>
        <v>临街状况</v>
      </c>
      <c r="R25" s="772" t="s">
        <v>17</v>
      </c>
      <c r="S25" s="773">
        <f>F25</f>
        <v>100</v>
      </c>
      <c r="T25" s="772" t="s">
        <v>17</v>
      </c>
      <c r="U25" s="773">
        <f>H25</f>
        <v>100</v>
      </c>
      <c r="V25" s="772" t="s">
        <v>17</v>
      </c>
      <c r="W25" s="773">
        <f>J25</f>
        <v>100</v>
      </c>
      <c r="X25" s="1810"/>
      <c r="Y25" s="3173"/>
      <c r="Z25" s="1811" t="str">
        <f>Q25</f>
        <v>临街状况</v>
      </c>
      <c r="AA25" s="1808">
        <f t="shared" si="3"/>
        <v>1</v>
      </c>
      <c r="AB25" s="1808">
        <f t="shared" si="4"/>
        <v>1</v>
      </c>
      <c r="AC25" s="1808">
        <f t="shared" si="5"/>
        <v>1</v>
      </c>
    </row>
    <row r="26" spans="1:29" ht="15">
      <c r="A26" s="427"/>
      <c r="B26" s="1383" t="s">
        <v>2655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61"/>
      <c r="Q26" s="1807" t="str">
        <f t="shared" si="11"/>
        <v>平面位置/可视性</v>
      </c>
      <c r="R26" s="772" t="s">
        <v>17</v>
      </c>
      <c r="S26" s="773">
        <f>F26</f>
        <v>100</v>
      </c>
      <c r="T26" s="772" t="s">
        <v>17</v>
      </c>
      <c r="U26" s="773">
        <f>H26</f>
        <v>100</v>
      </c>
      <c r="V26" s="772" t="s">
        <v>17</v>
      </c>
      <c r="W26" s="773">
        <f>J26</f>
        <v>100</v>
      </c>
      <c r="X26" s="1810"/>
      <c r="Y26" s="3173"/>
      <c r="Z26" s="1811" t="str">
        <f>Q26</f>
        <v>平面位置/可视性</v>
      </c>
      <c r="AA26" s="1808">
        <f t="shared" si="3"/>
        <v>1</v>
      </c>
      <c r="AB26" s="1808">
        <f t="shared" si="4"/>
        <v>1</v>
      </c>
      <c r="AC26" s="1808">
        <f t="shared" si="5"/>
        <v>1</v>
      </c>
    </row>
    <row r="27" spans="1:29" s="117" customFormat="1" ht="15">
      <c r="A27" s="430"/>
      <c r="B27" s="450" t="s">
        <v>2656</v>
      </c>
      <c r="C27" s="2662"/>
      <c r="D27" s="461">
        <v>100</v>
      </c>
      <c r="E27" s="2662"/>
      <c r="F27" s="463">
        <f>SUMIF(90:90,E27,91:91)-SUMIF(90:90,C27,91:91)+100</f>
        <v>100</v>
      </c>
      <c r="G27" s="2662"/>
      <c r="H27" s="461">
        <f>SUMIF(90:90,G27,91:91)-SUMIF(90:90,C27,91:91)+100</f>
        <v>100</v>
      </c>
      <c r="I27" s="2662"/>
      <c r="J27" s="461">
        <f>SUMIF(90:90,I27,91:91)-SUMIF(90:90,C27,91:91)+100</f>
        <v>100</v>
      </c>
      <c r="K27" s="611"/>
      <c r="L27" s="1129"/>
      <c r="M27" s="1130"/>
      <c r="N27" s="1130"/>
      <c r="O27" s="1130"/>
      <c r="P27" s="3261"/>
      <c r="Q27" s="1792" t="str">
        <f t="shared" si="11"/>
        <v>人流量</v>
      </c>
      <c r="R27" s="768" t="s">
        <v>17</v>
      </c>
      <c r="S27" s="769">
        <f>F27</f>
        <v>100</v>
      </c>
      <c r="T27" s="768" t="s">
        <v>17</v>
      </c>
      <c r="U27" s="769">
        <f>H27</f>
        <v>100</v>
      </c>
      <c r="V27" s="768" t="s">
        <v>17</v>
      </c>
      <c r="W27" s="769">
        <f>J27</f>
        <v>100</v>
      </c>
      <c r="X27" s="770"/>
      <c r="Y27" s="3173"/>
      <c r="Z27" s="55" t="str">
        <f>Q27</f>
        <v>人流量</v>
      </c>
      <c r="AA27" s="1808">
        <f>D27/F27</f>
        <v>1</v>
      </c>
      <c r="AB27" s="1808">
        <f>D27/H27</f>
        <v>1</v>
      </c>
      <c r="AC27" s="1808">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61"/>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73"/>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61"/>
      <c r="Q29" s="1807">
        <f t="shared" si="11"/>
        <v>111</v>
      </c>
      <c r="R29" s="772" t="s">
        <v>17</v>
      </c>
      <c r="S29" s="773">
        <f t="shared" si="12"/>
        <v>100</v>
      </c>
      <c r="T29" s="772" t="s">
        <v>17</v>
      </c>
      <c r="U29" s="773">
        <f t="shared" si="13"/>
        <v>100</v>
      </c>
      <c r="V29" s="772" t="s">
        <v>17</v>
      </c>
      <c r="W29" s="773">
        <f t="shared" si="14"/>
        <v>100</v>
      </c>
      <c r="X29" s="1810"/>
      <c r="Y29" s="3173"/>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61"/>
      <c r="Q30" s="1807">
        <f t="shared" si="11"/>
        <v>111</v>
      </c>
      <c r="R30" s="772" t="s">
        <v>17</v>
      </c>
      <c r="S30" s="773">
        <f t="shared" si="12"/>
        <v>100</v>
      </c>
      <c r="T30" s="772" t="s">
        <v>17</v>
      </c>
      <c r="U30" s="773">
        <f t="shared" si="13"/>
        <v>100</v>
      </c>
      <c r="V30" s="772" t="s">
        <v>17</v>
      </c>
      <c r="W30" s="773">
        <f t="shared" si="14"/>
        <v>100</v>
      </c>
      <c r="X30" s="1810"/>
      <c r="Y30" s="3173"/>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61"/>
      <c r="Q31" s="1807">
        <f t="shared" si="11"/>
        <v>111</v>
      </c>
      <c r="R31" s="772" t="s">
        <v>17</v>
      </c>
      <c r="S31" s="773">
        <f t="shared" si="12"/>
        <v>100</v>
      </c>
      <c r="T31" s="772" t="s">
        <v>17</v>
      </c>
      <c r="U31" s="773">
        <f t="shared" si="13"/>
        <v>100</v>
      </c>
      <c r="V31" s="772" t="s">
        <v>17</v>
      </c>
      <c r="W31" s="773">
        <f t="shared" si="14"/>
        <v>100</v>
      </c>
      <c r="X31" s="1810"/>
      <c r="Y31" s="3173"/>
      <c r="Z31" s="1811">
        <f t="shared" si="15"/>
        <v>111</v>
      </c>
      <c r="AA31" s="1808">
        <f t="shared" si="3"/>
        <v>1</v>
      </c>
      <c r="AB31" s="1808">
        <f t="shared" si="4"/>
        <v>1</v>
      </c>
      <c r="AC31" s="1808">
        <f t="shared" si="5"/>
        <v>1</v>
      </c>
    </row>
    <row r="32" spans="1:29" ht="15">
      <c r="A32" s="439" t="s">
        <v>2561</v>
      </c>
      <c r="B32" s="71" t="s">
        <v>2658</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7"/>
      <c r="M32" s="1128"/>
      <c r="N32" s="1128"/>
      <c r="O32" s="1128"/>
      <c r="P32" s="3256" t="s">
        <v>2563</v>
      </c>
      <c r="Q32" s="1807" t="str">
        <f t="shared" si="11"/>
        <v>商业类型</v>
      </c>
      <c r="R32" s="772" t="s">
        <v>17</v>
      </c>
      <c r="S32" s="773">
        <f t="shared" si="12"/>
        <v>100</v>
      </c>
      <c r="T32" s="772" t="s">
        <v>17</v>
      </c>
      <c r="U32" s="773">
        <f t="shared" si="13"/>
        <v>100</v>
      </c>
      <c r="V32" s="772" t="s">
        <v>17</v>
      </c>
      <c r="W32" s="773">
        <f t="shared" si="14"/>
        <v>100</v>
      </c>
      <c r="X32" s="1810"/>
      <c r="Y32" s="3175" t="s">
        <v>2563</v>
      </c>
      <c r="Z32" s="1811" t="str">
        <f t="shared" si="15"/>
        <v>商业类型</v>
      </c>
      <c r="AA32" s="1808">
        <f t="shared" si="3"/>
        <v>1</v>
      </c>
      <c r="AB32" s="1808">
        <f t="shared" si="4"/>
        <v>1</v>
      </c>
      <c r="AC32" s="1808">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57"/>
      <c r="Q33" s="774" t="str">
        <f t="shared" si="11"/>
        <v>项目建筑规模</v>
      </c>
      <c r="R33" s="775" t="s">
        <v>17</v>
      </c>
      <c r="S33" s="776" t="e">
        <f t="shared" si="12"/>
        <v>#N/A</v>
      </c>
      <c r="T33" s="775" t="s">
        <v>17</v>
      </c>
      <c r="U33" s="776" t="e">
        <f t="shared" si="13"/>
        <v>#N/A</v>
      </c>
      <c r="V33" s="775" t="s">
        <v>17</v>
      </c>
      <c r="W33" s="776" t="e">
        <f t="shared" si="14"/>
        <v>#N/A</v>
      </c>
      <c r="X33" s="777"/>
      <c r="Y33" s="3175"/>
      <c r="Z33" s="778" t="str">
        <f t="shared" si="15"/>
        <v>项目建筑规模</v>
      </c>
      <c r="AA33" s="1808" t="e">
        <f t="shared" si="3"/>
        <v>#N/A</v>
      </c>
      <c r="AB33" s="1808" t="e">
        <f t="shared" si="4"/>
        <v>#N/A</v>
      </c>
      <c r="AC33" s="1808" t="e">
        <f t="shared" si="5"/>
        <v>#N/A</v>
      </c>
    </row>
    <row r="34" spans="1:29" ht="15">
      <c r="A34" s="471"/>
      <c r="B34" s="421" t="s">
        <v>2565</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7"/>
      <c r="M34" s="1128"/>
      <c r="N34" s="1128"/>
      <c r="O34" s="1128"/>
      <c r="P34" s="3257"/>
      <c r="Q34" s="1807" t="str">
        <f t="shared" si="11"/>
        <v>建筑结构</v>
      </c>
      <c r="R34" s="772" t="s">
        <v>17</v>
      </c>
      <c r="S34" s="773">
        <f t="shared" si="12"/>
        <v>100</v>
      </c>
      <c r="T34" s="772" t="s">
        <v>17</v>
      </c>
      <c r="U34" s="773">
        <f t="shared" si="13"/>
        <v>100</v>
      </c>
      <c r="V34" s="772" t="s">
        <v>17</v>
      </c>
      <c r="W34" s="773">
        <f t="shared" si="14"/>
        <v>100</v>
      </c>
      <c r="X34" s="1810"/>
      <c r="Y34" s="3175"/>
      <c r="Z34" s="1811" t="str">
        <f t="shared" si="15"/>
        <v>建筑结构</v>
      </c>
      <c r="AA34" s="1808">
        <f t="shared" si="3"/>
        <v>1</v>
      </c>
      <c r="AB34" s="1808">
        <f t="shared" si="4"/>
        <v>1</v>
      </c>
      <c r="AC34" s="1808">
        <f t="shared" si="5"/>
        <v>1</v>
      </c>
    </row>
    <row r="35" spans="1:29" ht="15">
      <c r="A35" s="471"/>
      <c r="B35" s="421" t="s">
        <v>2659</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7"/>
      <c r="M35" s="1128"/>
      <c r="N35" s="1128"/>
      <c r="O35" s="1128"/>
      <c r="P35" s="3257"/>
      <c r="Q35" s="1807" t="str">
        <f t="shared" si="11"/>
        <v>公共部分装修</v>
      </c>
      <c r="R35" s="772" t="s">
        <v>17</v>
      </c>
      <c r="S35" s="773">
        <f t="shared" si="12"/>
        <v>100</v>
      </c>
      <c r="T35" s="772" t="s">
        <v>17</v>
      </c>
      <c r="U35" s="773">
        <f t="shared" si="13"/>
        <v>100</v>
      </c>
      <c r="V35" s="772" t="s">
        <v>17</v>
      </c>
      <c r="W35" s="773">
        <f t="shared" si="14"/>
        <v>100</v>
      </c>
      <c r="X35" s="1810"/>
      <c r="Y35" s="3175"/>
      <c r="Z35" s="1811" t="str">
        <f t="shared" si="15"/>
        <v>公共部分装修</v>
      </c>
      <c r="AA35" s="1808">
        <f t="shared" si="3"/>
        <v>1</v>
      </c>
      <c r="AB35" s="1808">
        <f t="shared" si="4"/>
        <v>1</v>
      </c>
      <c r="AC35" s="1808">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57"/>
      <c r="Q36" s="1807" t="str">
        <f t="shared" si="11"/>
        <v>成新度</v>
      </c>
      <c r="R36" s="772" t="s">
        <v>17</v>
      </c>
      <c r="S36" s="773" t="e">
        <f t="shared" si="12"/>
        <v>#N/A</v>
      </c>
      <c r="T36" s="772" t="s">
        <v>17</v>
      </c>
      <c r="U36" s="773" t="e">
        <f t="shared" si="13"/>
        <v>#N/A</v>
      </c>
      <c r="V36" s="772" t="s">
        <v>17</v>
      </c>
      <c r="W36" s="773" t="e">
        <f t="shared" si="14"/>
        <v>#N/A</v>
      </c>
      <c r="X36" s="1810"/>
      <c r="Y36" s="3175"/>
      <c r="Z36" s="1811" t="str">
        <f t="shared" si="15"/>
        <v>成新度</v>
      </c>
      <c r="AA36" s="1808" t="e">
        <f t="shared" si="3"/>
        <v>#N/A</v>
      </c>
      <c r="AB36" s="1808" t="e">
        <f t="shared" si="4"/>
        <v>#N/A</v>
      </c>
      <c r="AC36" s="1808" t="e">
        <f t="shared" si="5"/>
        <v>#N/A</v>
      </c>
    </row>
    <row r="37" spans="1:29" s="117" customFormat="1" ht="15">
      <c r="A37" s="472"/>
      <c r="B37" s="421" t="s">
        <v>2661</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29"/>
      <c r="M37" s="1130"/>
      <c r="N37" s="1130"/>
      <c r="O37" s="1130"/>
      <c r="P37" s="3257"/>
      <c r="Q37" s="1792" t="str">
        <f t="shared" si="11"/>
        <v>市政基础设施</v>
      </c>
      <c r="R37" s="768" t="s">
        <v>17</v>
      </c>
      <c r="S37" s="769">
        <f t="shared" si="12"/>
        <v>100</v>
      </c>
      <c r="T37" s="768" t="s">
        <v>17</v>
      </c>
      <c r="U37" s="769">
        <f t="shared" si="13"/>
        <v>100</v>
      </c>
      <c r="V37" s="768" t="s">
        <v>17</v>
      </c>
      <c r="W37" s="769">
        <f t="shared" si="14"/>
        <v>100</v>
      </c>
      <c r="X37" s="770"/>
      <c r="Y37" s="3175"/>
      <c r="Z37" s="55" t="str">
        <f t="shared" si="15"/>
        <v>市政基础设施</v>
      </c>
      <c r="AA37" s="771">
        <f t="shared" si="3"/>
        <v>1</v>
      </c>
      <c r="AB37" s="771">
        <f t="shared" si="4"/>
        <v>1</v>
      </c>
      <c r="AC37" s="771">
        <f t="shared" si="5"/>
        <v>1</v>
      </c>
    </row>
    <row r="38" spans="1:29" ht="15">
      <c r="A38" s="471"/>
      <c r="B38" s="421" t="s">
        <v>2662</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7"/>
      <c r="M38" s="1128"/>
      <c r="N38" s="1128"/>
      <c r="O38" s="1128"/>
      <c r="P38" s="3257" t="s">
        <v>2563</v>
      </c>
      <c r="Q38" s="1807" t="str">
        <f t="shared" si="11"/>
        <v>业态</v>
      </c>
      <c r="R38" s="772" t="s">
        <v>17</v>
      </c>
      <c r="S38" s="773">
        <f t="shared" si="12"/>
        <v>100</v>
      </c>
      <c r="T38" s="772" t="s">
        <v>17</v>
      </c>
      <c r="U38" s="773">
        <f t="shared" si="13"/>
        <v>100</v>
      </c>
      <c r="V38" s="772" t="s">
        <v>17</v>
      </c>
      <c r="W38" s="773">
        <f t="shared" si="14"/>
        <v>100</v>
      </c>
      <c r="X38" s="1810"/>
      <c r="Y38" s="3175" t="s">
        <v>2563</v>
      </c>
      <c r="Z38" s="1811" t="str">
        <f t="shared" si="15"/>
        <v>业态</v>
      </c>
      <c r="AA38" s="1808">
        <f t="shared" si="3"/>
        <v>1</v>
      </c>
      <c r="AB38" s="1808">
        <f t="shared" si="4"/>
        <v>1</v>
      </c>
      <c r="AC38" s="1808">
        <f t="shared" si="5"/>
        <v>1</v>
      </c>
    </row>
    <row r="39" spans="1:29" ht="15">
      <c r="A39" s="471"/>
      <c r="B39" s="421" t="s">
        <v>2663</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7"/>
      <c r="M39" s="1128"/>
      <c r="N39" s="1128"/>
      <c r="O39" s="1128"/>
      <c r="P39" s="3257"/>
      <c r="Q39" s="1807" t="str">
        <f t="shared" si="11"/>
        <v>层高</v>
      </c>
      <c r="R39" s="772" t="s">
        <v>17</v>
      </c>
      <c r="S39" s="773">
        <f t="shared" si="12"/>
        <v>100</v>
      </c>
      <c r="T39" s="772" t="s">
        <v>17</v>
      </c>
      <c r="U39" s="773">
        <f t="shared" si="13"/>
        <v>100</v>
      </c>
      <c r="V39" s="772" t="s">
        <v>17</v>
      </c>
      <c r="W39" s="773">
        <f t="shared" si="14"/>
        <v>100</v>
      </c>
      <c r="X39" s="1810"/>
      <c r="Y39" s="3175"/>
      <c r="Z39" s="1811" t="str">
        <f t="shared" si="15"/>
        <v>层高</v>
      </c>
      <c r="AA39" s="1808">
        <f t="shared" si="3"/>
        <v>1</v>
      </c>
      <c r="AB39" s="1808">
        <f t="shared" si="4"/>
        <v>1</v>
      </c>
      <c r="AC39" s="1808">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57"/>
      <c r="Q40" s="1807" t="str">
        <f t="shared" si="11"/>
        <v>单套建筑面积</v>
      </c>
      <c r="R40" s="772" t="s">
        <v>17</v>
      </c>
      <c r="S40" s="773">
        <f t="shared" si="12"/>
        <v>100</v>
      </c>
      <c r="T40" s="772" t="s">
        <v>17</v>
      </c>
      <c r="U40" s="773">
        <f t="shared" si="13"/>
        <v>100</v>
      </c>
      <c r="V40" s="772" t="s">
        <v>17</v>
      </c>
      <c r="W40" s="773">
        <f t="shared" si="14"/>
        <v>100</v>
      </c>
      <c r="X40" s="1810"/>
      <c r="Y40" s="3175"/>
      <c r="Z40" s="1811" t="str">
        <f t="shared" si="15"/>
        <v>单套建筑面积</v>
      </c>
      <c r="AA40" s="1808">
        <f t="shared" si="3"/>
        <v>1</v>
      </c>
      <c r="AB40" s="1808">
        <f t="shared" si="4"/>
        <v>1</v>
      </c>
      <c r="AC40" s="1808">
        <f t="shared" si="5"/>
        <v>1</v>
      </c>
    </row>
    <row r="41" spans="1:29" s="470" customFormat="1" ht="15">
      <c r="A41" s="467"/>
      <c r="B41" s="1809"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57"/>
      <c r="Q41" s="774" t="str">
        <f t="shared" si="11"/>
        <v>进深比</v>
      </c>
      <c r="R41" s="775" t="s">
        <v>17</v>
      </c>
      <c r="S41" s="776">
        <f t="shared" si="12"/>
        <v>100</v>
      </c>
      <c r="T41" s="775" t="s">
        <v>17</v>
      </c>
      <c r="U41" s="776">
        <f t="shared" si="13"/>
        <v>100</v>
      </c>
      <c r="V41" s="775" t="s">
        <v>17</v>
      </c>
      <c r="W41" s="776">
        <f t="shared" si="14"/>
        <v>100</v>
      </c>
      <c r="X41" s="777"/>
      <c r="Y41" s="3175"/>
      <c r="Z41" s="778" t="str">
        <f t="shared" si="15"/>
        <v>进深比</v>
      </c>
      <c r="AA41" s="1808">
        <f t="shared" si="3"/>
        <v>1</v>
      </c>
      <c r="AB41" s="1808">
        <f t="shared" si="4"/>
        <v>1</v>
      </c>
      <c r="AC41" s="1808">
        <f t="shared" si="5"/>
        <v>1</v>
      </c>
    </row>
    <row r="42" spans="1:29" ht="15">
      <c r="A42" s="471"/>
      <c r="B42" s="421" t="s">
        <v>2666</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7"/>
      <c r="M42" s="1128"/>
      <c r="N42" s="1128"/>
      <c r="O42" s="1128"/>
      <c r="P42" s="3257"/>
      <c r="Q42" s="1807" t="str">
        <f t="shared" si="11"/>
        <v>内部装修</v>
      </c>
      <c r="R42" s="772" t="s">
        <v>17</v>
      </c>
      <c r="S42" s="773">
        <f t="shared" si="12"/>
        <v>100</v>
      </c>
      <c r="T42" s="772" t="s">
        <v>17</v>
      </c>
      <c r="U42" s="773">
        <f t="shared" si="13"/>
        <v>100</v>
      </c>
      <c r="V42" s="772" t="s">
        <v>17</v>
      </c>
      <c r="W42" s="773">
        <f t="shared" si="14"/>
        <v>100</v>
      </c>
      <c r="X42" s="1810"/>
      <c r="Y42" s="3175"/>
      <c r="Z42" s="1811" t="str">
        <f t="shared" si="15"/>
        <v>内部装修</v>
      </c>
      <c r="AA42" s="1808">
        <f t="shared" si="3"/>
        <v>1</v>
      </c>
      <c r="AB42" s="1808">
        <f t="shared" si="4"/>
        <v>1</v>
      </c>
      <c r="AC42" s="1808">
        <f t="shared" si="5"/>
        <v>1</v>
      </c>
    </row>
    <row r="43" spans="1:29" ht="15">
      <c r="A43" s="471"/>
      <c r="B43" s="421" t="s">
        <v>2574</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7"/>
      <c r="M43" s="1128"/>
      <c r="N43" s="1128"/>
      <c r="O43" s="1128"/>
      <c r="P43" s="3257"/>
      <c r="Q43" s="1807" t="str">
        <f t="shared" si="11"/>
        <v>内部装修维护情况</v>
      </c>
      <c r="R43" s="772" t="s">
        <v>17</v>
      </c>
      <c r="S43" s="773">
        <f t="shared" si="12"/>
        <v>100</v>
      </c>
      <c r="T43" s="772" t="s">
        <v>17</v>
      </c>
      <c r="U43" s="773">
        <f t="shared" si="13"/>
        <v>100</v>
      </c>
      <c r="V43" s="772" t="s">
        <v>17</v>
      </c>
      <c r="W43" s="773">
        <f t="shared" si="14"/>
        <v>100</v>
      </c>
      <c r="X43" s="1810"/>
      <c r="Y43" s="317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57"/>
      <c r="Q44" s="1792">
        <f t="shared" si="11"/>
        <v>111</v>
      </c>
      <c r="R44" s="768" t="s">
        <v>17</v>
      </c>
      <c r="S44" s="769">
        <f t="shared" si="12"/>
        <v>100</v>
      </c>
      <c r="T44" s="768" t="s">
        <v>17</v>
      </c>
      <c r="U44" s="769">
        <f t="shared" si="13"/>
        <v>100</v>
      </c>
      <c r="V44" s="768" t="s">
        <v>17</v>
      </c>
      <c r="W44" s="769">
        <f t="shared" si="14"/>
        <v>100</v>
      </c>
      <c r="X44" s="770"/>
      <c r="Y44" s="3175"/>
      <c r="Z44" s="55">
        <f t="shared" si="15"/>
        <v>111</v>
      </c>
      <c r="AA44" s="771">
        <f t="shared" si="3"/>
        <v>1</v>
      </c>
      <c r="AB44" s="771">
        <f t="shared" si="4"/>
        <v>1</v>
      </c>
      <c r="AC44" s="771">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57"/>
      <c r="Q45" s="1807">
        <f t="shared" si="11"/>
        <v>111</v>
      </c>
      <c r="R45" s="772" t="s">
        <v>17</v>
      </c>
      <c r="S45" s="773">
        <f t="shared" si="12"/>
        <v>100</v>
      </c>
      <c r="T45" s="772" t="s">
        <v>17</v>
      </c>
      <c r="U45" s="773">
        <f t="shared" si="13"/>
        <v>100</v>
      </c>
      <c r="V45" s="772" t="s">
        <v>17</v>
      </c>
      <c r="W45" s="773">
        <f t="shared" si="14"/>
        <v>100</v>
      </c>
      <c r="X45" s="1810"/>
      <c r="Y45" s="3175"/>
      <c r="Z45" s="1811">
        <f t="shared" si="15"/>
        <v>111</v>
      </c>
      <c r="AA45" s="1808">
        <f t="shared" si="3"/>
        <v>1</v>
      </c>
      <c r="AB45" s="1808">
        <f t="shared" si="4"/>
        <v>1</v>
      </c>
      <c r="AC45" s="1808">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58"/>
      <c r="Q46" s="1807">
        <f t="shared" si="11"/>
        <v>111</v>
      </c>
      <c r="R46" s="772" t="s">
        <v>17</v>
      </c>
      <c r="S46" s="773">
        <f t="shared" si="12"/>
        <v>100</v>
      </c>
      <c r="T46" s="772" t="s">
        <v>17</v>
      </c>
      <c r="U46" s="773">
        <f t="shared" si="13"/>
        <v>100</v>
      </c>
      <c r="V46" s="772" t="s">
        <v>17</v>
      </c>
      <c r="W46" s="773">
        <f t="shared" si="14"/>
        <v>100</v>
      </c>
      <c r="X46" s="1810"/>
      <c r="Y46" s="3259"/>
      <c r="Z46" s="1811">
        <f t="shared" si="15"/>
        <v>111</v>
      </c>
      <c r="AA46" s="1808">
        <f t="shared" si="3"/>
        <v>1</v>
      </c>
      <c r="AB46" s="1808">
        <f t="shared" si="4"/>
        <v>1</v>
      </c>
      <c r="AC46" s="1808">
        <f t="shared" si="5"/>
        <v>1</v>
      </c>
    </row>
    <row r="47" spans="1:29" ht="15">
      <c r="A47" s="478" t="s">
        <v>2575</v>
      </c>
      <c r="B47" s="479"/>
      <c r="C47" s="1404" t="s">
        <v>1</v>
      </c>
      <c r="D47" s="1405"/>
      <c r="E47" s="1406"/>
      <c r="F47" s="1407"/>
      <c r="G47" s="1408"/>
      <c r="H47" s="1409"/>
      <c r="I47" s="1406"/>
      <c r="J47" s="1409"/>
      <c r="K47" s="781"/>
      <c r="L47" s="1140"/>
      <c r="M47" s="1141"/>
      <c r="N47" s="1128"/>
      <c r="O47" s="1141"/>
      <c r="P47" s="3170" t="str">
        <f>A47</f>
        <v>成交单价（元/平方米）</v>
      </c>
      <c r="Q47" s="3170"/>
      <c r="R47" s="3176">
        <f>E47</f>
        <v>0</v>
      </c>
      <c r="S47" s="3176"/>
      <c r="T47" s="3176">
        <f>G47</f>
        <v>0</v>
      </c>
      <c r="U47" s="3176"/>
      <c r="V47" s="3176">
        <f>I47</f>
        <v>0</v>
      </c>
      <c r="W47" s="3176"/>
      <c r="X47" s="757"/>
      <c r="Y47" s="779"/>
      <c r="Z47" s="757"/>
      <c r="AA47" s="757"/>
      <c r="AB47" s="757"/>
      <c r="AC47" s="757"/>
    </row>
    <row r="48" spans="1:29" ht="15.75" thickBot="1">
      <c r="A48" s="485" t="s">
        <v>2667</v>
      </c>
      <c r="B48" s="486"/>
      <c r="C48" s="1410" t="e">
        <f>R49</f>
        <v>#DIV/0!</v>
      </c>
      <c r="D48" s="1411"/>
      <c r="E48" s="1412" t="e">
        <f>R48</f>
        <v>#DIV/0!</v>
      </c>
      <c r="F48" s="1412"/>
      <c r="G48" s="1410" t="e">
        <f>T48</f>
        <v>#DIV/0!</v>
      </c>
      <c r="H48" s="1411"/>
      <c r="I48" s="1412" t="e">
        <f>V48</f>
        <v>#DIV/0!</v>
      </c>
      <c r="J48" s="1411"/>
      <c r="K48" s="782"/>
      <c r="L48" s="1140"/>
      <c r="M48" s="1141"/>
      <c r="N48" s="1128"/>
      <c r="O48" s="1141"/>
      <c r="P48" s="3170" t="str">
        <f>A48</f>
        <v>比较价值（元/平方米）</v>
      </c>
      <c r="Q48" s="317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7"/>
      <c r="Y48" s="757"/>
      <c r="Z48" s="757"/>
      <c r="AA48" s="757"/>
      <c r="AB48" s="757"/>
      <c r="AC48" s="757"/>
    </row>
    <row r="49" spans="1:29" ht="15.75" thickBot="1">
      <c r="A49" s="491" t="s">
        <v>2668</v>
      </c>
      <c r="B49" s="492"/>
      <c r="C49" s="1414" t="e">
        <f>R49</f>
        <v>#DIV/0!</v>
      </c>
      <c r="D49" s="1414"/>
      <c r="E49" s="1414"/>
      <c r="F49" s="1414"/>
      <c r="G49" s="1414"/>
      <c r="H49" s="1414"/>
      <c r="I49" s="1414"/>
      <c r="J49" s="1414"/>
      <c r="K49" s="783"/>
      <c r="L49" s="1140"/>
      <c r="M49" s="1141"/>
      <c r="N49" s="1128"/>
      <c r="O49" s="1141"/>
      <c r="P49" s="3164" t="str">
        <f>A49</f>
        <v>估价对象XX用房的比较价值（楼面单价，元/平方米）</v>
      </c>
      <c r="Q49" s="3165"/>
      <c r="R49" s="3254" t="e">
        <f>IF(F1="售价",ROUND(AVERAGE(R48:V48),0),ROUND(AVERAGE(R48:V48),1))</f>
        <v>#DIV/0!</v>
      </c>
      <c r="S49" s="3254"/>
      <c r="T49" s="3254"/>
      <c r="U49" s="3254"/>
      <c r="V49" s="3254"/>
      <c r="W49" s="325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4"/>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4"/>
      <c r="Q51" s="757"/>
      <c r="R51" s="757"/>
      <c r="S51" s="757"/>
      <c r="T51" s="757"/>
      <c r="U51" s="757"/>
      <c r="V51" s="757"/>
      <c r="W51" s="757"/>
      <c r="X51" s="757"/>
      <c r="Y51" s="757"/>
      <c r="Z51" s="757"/>
      <c r="AA51" s="757"/>
      <c r="AB51" s="757"/>
      <c r="AC51" s="757"/>
    </row>
    <row r="52" spans="1:29" ht="13.5" customHeight="1">
      <c r="A52" s="1141"/>
      <c r="B52" s="1141"/>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7"/>
      <c r="R52" s="757"/>
      <c r="S52" s="757"/>
      <c r="T52" s="757"/>
      <c r="U52" s="757"/>
      <c r="V52" s="757"/>
      <c r="W52" s="757"/>
      <c r="X52" s="757"/>
      <c r="Y52" s="757"/>
      <c r="Z52" s="757"/>
      <c r="AA52" s="757"/>
      <c r="AB52" s="757"/>
      <c r="AC52" s="757"/>
    </row>
    <row r="53" spans="1:29" ht="13.5" customHeight="1">
      <c r="A53" s="1141"/>
      <c r="B53" s="1141"/>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7"/>
      <c r="R53" s="757"/>
      <c r="S53" s="757"/>
      <c r="T53" s="757"/>
      <c r="U53" s="757"/>
      <c r="V53" s="757"/>
      <c r="W53" s="757"/>
      <c r="X53" s="757"/>
      <c r="Y53" s="757"/>
      <c r="Z53" s="757"/>
      <c r="AA53" s="757"/>
      <c r="AB53" s="757"/>
      <c r="AC53" s="757"/>
    </row>
    <row r="54" spans="1:29" s="501" customFormat="1" ht="13.5" customHeight="1">
      <c r="A54" s="1142"/>
      <c r="B54" s="1142"/>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63"/>
      <c r="Q54" s="758"/>
      <c r="R54" s="758"/>
      <c r="S54" s="758"/>
      <c r="T54" s="758"/>
      <c r="U54" s="758"/>
      <c r="V54" s="758"/>
      <c r="W54" s="758"/>
      <c r="X54" s="758"/>
      <c r="Y54" s="758"/>
      <c r="Z54" s="758"/>
      <c r="AA54" s="758"/>
      <c r="AB54" s="758"/>
      <c r="AC54" s="758"/>
    </row>
    <row r="55" spans="1:29" s="501" customFormat="1">
      <c r="A55" s="1142"/>
      <c r="B55" s="1143"/>
      <c r="C55" s="1147"/>
      <c r="D55" s="1142"/>
      <c r="E55" s="1142"/>
      <c r="F55" s="1142"/>
      <c r="G55" s="1142"/>
      <c r="H55" s="1142"/>
      <c r="I55" s="1142"/>
      <c r="J55" s="1142"/>
      <c r="K55" s="1145"/>
      <c r="L55" s="1146"/>
      <c r="M55" s="1142"/>
      <c r="N55" s="1142"/>
      <c r="O55" s="1142"/>
      <c r="P55" s="2663"/>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4"/>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8"/>
      <c r="M57" s="1156"/>
      <c r="N57" s="1156"/>
      <c r="O57" s="1156"/>
      <c r="P57" s="2664"/>
      <c r="Q57" s="2665"/>
      <c r="R57" s="757"/>
      <c r="S57" s="757"/>
      <c r="T57" s="757"/>
      <c r="U57" s="757"/>
      <c r="V57" s="757"/>
      <c r="W57" s="757"/>
      <c r="X57" s="757"/>
      <c r="Y57" s="757"/>
      <c r="Z57" s="757"/>
      <c r="AA57" s="757"/>
      <c r="AB57" s="757"/>
      <c r="AC57" s="757"/>
    </row>
    <row r="58" spans="1:29" s="507" customFormat="1" ht="15">
      <c r="A58" s="504" t="s">
        <v>2546</v>
      </c>
      <c r="B58" s="505"/>
      <c r="C58" s="1571" t="str">
        <f>YEAR(C7)&amp;"-"&amp;MONTH(C7)</f>
        <v>2019-5</v>
      </c>
      <c r="D58" s="1572">
        <f>EDATE(C58,-1)</f>
        <v>43556</v>
      </c>
      <c r="E58" s="1572">
        <f t="shared" ref="E58:N58" si="16">EDATE(D58,-1)</f>
        <v>43525</v>
      </c>
      <c r="F58" s="1572">
        <f t="shared" si="16"/>
        <v>43497</v>
      </c>
      <c r="G58" s="1572">
        <f t="shared" si="16"/>
        <v>43466</v>
      </c>
      <c r="H58" s="1572">
        <f t="shared" si="16"/>
        <v>43435</v>
      </c>
      <c r="I58" s="1572">
        <f t="shared" si="16"/>
        <v>43405</v>
      </c>
      <c r="J58" s="1572">
        <f t="shared" si="16"/>
        <v>43374</v>
      </c>
      <c r="K58" s="1572">
        <f t="shared" si="16"/>
        <v>43344</v>
      </c>
      <c r="L58" s="1572">
        <f t="shared" si="16"/>
        <v>43313</v>
      </c>
      <c r="M58" s="1572">
        <f t="shared" si="16"/>
        <v>43282</v>
      </c>
      <c r="N58" s="1572">
        <f t="shared" si="16"/>
        <v>43252</v>
      </c>
      <c r="O58" s="1572">
        <f>EDATE(N58,-1)</f>
        <v>43221</v>
      </c>
      <c r="P58" s="1567"/>
    </row>
    <row r="59" spans="1:29" s="117" customFormat="1" ht="15">
      <c r="A59" s="508"/>
      <c r="B59" s="509"/>
      <c r="C59" s="1570">
        <v>100</v>
      </c>
      <c r="D59" s="511"/>
      <c r="E59" s="511"/>
      <c r="F59" s="511"/>
      <c r="G59" s="511"/>
      <c r="H59" s="511"/>
      <c r="I59" s="511"/>
      <c r="J59" s="511"/>
      <c r="K59" s="511"/>
      <c r="L59" s="511"/>
      <c r="M59" s="512"/>
      <c r="N59" s="511"/>
      <c r="O59" s="512"/>
      <c r="P59" s="2625"/>
    </row>
    <row r="60" spans="1:29" s="117" customFormat="1" ht="15.75" thickBot="1">
      <c r="A60" s="514" t="s">
        <v>2583</v>
      </c>
      <c r="B60" s="515"/>
      <c r="C60" s="516"/>
      <c r="D60" s="517"/>
      <c r="E60" s="517"/>
      <c r="F60" s="517"/>
      <c r="G60" s="517"/>
      <c r="H60" s="517"/>
      <c r="I60" s="517"/>
      <c r="J60" s="517"/>
      <c r="K60" s="517"/>
      <c r="L60" s="517"/>
      <c r="M60" s="518"/>
      <c r="N60" s="517"/>
      <c r="O60" s="518"/>
      <c r="P60" s="2625"/>
      <c r="Q60" s="503"/>
    </row>
    <row r="61" spans="1:29" s="117" customFormat="1" ht="15">
      <c r="A61" s="520" t="s">
        <v>2548</v>
      </c>
      <c r="B61" s="509"/>
      <c r="C61" s="521" t="s">
        <v>2650</v>
      </c>
      <c r="D61" s="522"/>
      <c r="E61" s="522"/>
      <c r="F61" s="522"/>
      <c r="G61" s="522"/>
      <c r="H61" s="522"/>
      <c r="I61" s="522"/>
      <c r="J61" s="522"/>
      <c r="K61" s="522"/>
      <c r="L61" s="523"/>
      <c r="M61" s="524"/>
      <c r="N61" s="1148"/>
      <c r="O61" s="1148"/>
      <c r="P61" s="2626"/>
      <c r="Q61" s="503"/>
    </row>
    <row r="62" spans="1:29" s="117" customFormat="1" ht="15.75" thickBot="1">
      <c r="A62" s="520"/>
      <c r="B62" s="509"/>
      <c r="C62" s="510">
        <v>100</v>
      </c>
      <c r="D62" s="511"/>
      <c r="E62" s="511"/>
      <c r="F62" s="511"/>
      <c r="G62" s="511"/>
      <c r="H62" s="511"/>
      <c r="I62" s="511"/>
      <c r="J62" s="511"/>
      <c r="K62" s="511"/>
      <c r="L62" s="511"/>
      <c r="M62" s="513"/>
      <c r="N62" s="1148"/>
      <c r="O62" s="1148"/>
      <c r="P62" s="2625"/>
      <c r="Q62" s="503"/>
    </row>
    <row r="63" spans="1:29">
      <c r="A63" s="526" t="s">
        <v>2586</v>
      </c>
      <c r="B63" s="527" t="s">
        <v>2552</v>
      </c>
      <c r="C63" s="528">
        <f>C9</f>
        <v>0</v>
      </c>
      <c r="D63" s="529"/>
      <c r="E63" s="529"/>
      <c r="F63" s="529"/>
      <c r="G63" s="529"/>
      <c r="H63" s="529"/>
      <c r="I63" s="529"/>
      <c r="J63" s="529"/>
      <c r="K63" s="530"/>
      <c r="L63" s="531"/>
      <c r="M63" s="532"/>
      <c r="N63" s="1149"/>
      <c r="O63" s="1149"/>
      <c r="P63" s="2627"/>
      <c r="Q63" s="503"/>
    </row>
    <row r="64" spans="1:29" ht="15.75" thickBot="1">
      <c r="A64" s="533"/>
      <c r="B64" s="534"/>
      <c r="C64" s="535">
        <v>100</v>
      </c>
      <c r="D64" s="535"/>
      <c r="E64" s="535"/>
      <c r="F64" s="535"/>
      <c r="G64" s="535"/>
      <c r="H64" s="535"/>
      <c r="I64" s="535"/>
      <c r="J64" s="535"/>
      <c r="K64" s="535"/>
      <c r="L64" s="535"/>
      <c r="M64" s="536"/>
      <c r="N64" s="1150"/>
      <c r="O64" s="1150"/>
      <c r="P64" s="2627"/>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9"/>
      <c r="O65" s="1149"/>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7"/>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7"/>
      <c r="Q67" s="503"/>
    </row>
    <row r="68" spans="1:17" ht="15">
      <c r="A68" s="533"/>
      <c r="B68" s="547"/>
      <c r="C68" s="548"/>
      <c r="D68" s="548"/>
      <c r="E68" s="548"/>
      <c r="F68" s="548"/>
      <c r="G68" s="548"/>
      <c r="H68" s="548"/>
      <c r="I68" s="548"/>
      <c r="J68" s="548"/>
      <c r="K68" s="549"/>
      <c r="L68" s="550"/>
      <c r="M68" s="551"/>
      <c r="N68" s="1149"/>
      <c r="O68" s="1149"/>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7"/>
      <c r="Q69" s="503"/>
    </row>
    <row r="70" spans="1:17" s="470" customFormat="1" ht="15.75" thickTop="1">
      <c r="A70" s="552"/>
      <c r="B70" s="537">
        <f>B12</f>
        <v>111</v>
      </c>
      <c r="C70" s="553"/>
      <c r="D70" s="553"/>
      <c r="E70" s="553"/>
      <c r="F70" s="553"/>
      <c r="G70" s="553"/>
      <c r="H70" s="554"/>
      <c r="I70" s="554"/>
      <c r="J70" s="554"/>
      <c r="K70" s="554"/>
      <c r="L70" s="555"/>
      <c r="M70" s="556"/>
      <c r="N70" s="1151"/>
      <c r="O70" s="1151"/>
      <c r="P70" s="2628"/>
      <c r="Q70" s="558"/>
    </row>
    <row r="71" spans="1:17" s="470" customFormat="1" ht="15.75" thickBot="1">
      <c r="A71" s="552"/>
      <c r="B71" s="542"/>
      <c r="C71" s="559"/>
      <c r="D71" s="535"/>
      <c r="E71" s="535"/>
      <c r="F71" s="535"/>
      <c r="G71" s="535"/>
      <c r="H71" s="535"/>
      <c r="I71" s="535"/>
      <c r="J71" s="535"/>
      <c r="K71" s="535"/>
      <c r="L71" s="535"/>
      <c r="M71" s="536"/>
      <c r="N71" s="1150"/>
      <c r="O71" s="1150"/>
      <c r="P71" s="2628"/>
      <c r="Q71" s="558"/>
    </row>
    <row r="72" spans="1:17" s="470" customFormat="1" ht="15.75" thickTop="1">
      <c r="A72" s="552"/>
      <c r="B72" s="537">
        <f>B13</f>
        <v>111</v>
      </c>
      <c r="C72" s="553"/>
      <c r="D72" s="553"/>
      <c r="E72" s="553"/>
      <c r="F72" s="553"/>
      <c r="G72" s="553"/>
      <c r="H72" s="554"/>
      <c r="I72" s="554"/>
      <c r="J72" s="554"/>
      <c r="K72" s="554"/>
      <c r="L72" s="555"/>
      <c r="M72" s="556"/>
      <c r="N72" s="1151"/>
      <c r="O72" s="1151"/>
      <c r="P72" s="2629"/>
      <c r="Q72" s="560"/>
    </row>
    <row r="73" spans="1:17" s="470" customFormat="1" ht="15.75" thickBot="1">
      <c r="A73" s="552"/>
      <c r="B73" s="542"/>
      <c r="C73" s="559"/>
      <c r="D73" s="535"/>
      <c r="E73" s="535"/>
      <c r="F73" s="535"/>
      <c r="G73" s="559"/>
      <c r="H73" s="561"/>
      <c r="I73" s="561"/>
      <c r="J73" s="561"/>
      <c r="K73" s="561"/>
      <c r="L73" s="561"/>
      <c r="M73" s="562"/>
      <c r="N73" s="1151"/>
      <c r="O73" s="1151"/>
      <c r="P73" s="2628"/>
      <c r="Q73" s="558"/>
    </row>
    <row r="74" spans="1:17" s="470" customFormat="1" ht="15.75" thickTop="1">
      <c r="A74" s="552"/>
      <c r="B74" s="545">
        <f>B14</f>
        <v>111</v>
      </c>
      <c r="C74" s="553"/>
      <c r="D74" s="553"/>
      <c r="E74" s="553"/>
      <c r="F74" s="553"/>
      <c r="G74" s="522"/>
      <c r="H74" s="563"/>
      <c r="I74" s="563"/>
      <c r="J74" s="563"/>
      <c r="K74" s="563"/>
      <c r="L74" s="564"/>
      <c r="M74" s="565"/>
      <c r="N74" s="1151"/>
      <c r="O74" s="1151"/>
      <c r="P74" s="2630"/>
      <c r="Q74" s="558"/>
    </row>
    <row r="75" spans="1:17" s="470" customFormat="1" ht="15.75" thickBot="1">
      <c r="A75" s="567"/>
      <c r="B75" s="568"/>
      <c r="C75" s="569"/>
      <c r="D75" s="569"/>
      <c r="E75" s="569"/>
      <c r="F75" s="569"/>
      <c r="G75" s="569"/>
      <c r="H75" s="570"/>
      <c r="I75" s="570"/>
      <c r="J75" s="570"/>
      <c r="K75" s="570"/>
      <c r="L75" s="570"/>
      <c r="M75" s="571"/>
      <c r="N75" s="1151"/>
      <c r="O75" s="1151"/>
      <c r="P75" s="2628"/>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49"/>
      <c r="O76" s="1149"/>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7"/>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9"/>
      <c r="O78" s="1149"/>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7"/>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9"/>
      <c r="O80" s="1149"/>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7"/>
      <c r="Q81" s="503"/>
    </row>
    <row r="82" spans="1:17" ht="15.75" thickTop="1">
      <c r="A82" s="533"/>
      <c r="B82" s="545" t="s">
        <v>2653</v>
      </c>
      <c r="C82" s="659" t="s">
        <v>2673</v>
      </c>
      <c r="D82" s="659" t="s">
        <v>2674</v>
      </c>
      <c r="E82" s="659" t="s">
        <v>2675</v>
      </c>
      <c r="F82" s="659" t="s">
        <v>2676</v>
      </c>
      <c r="G82" s="659" t="s">
        <v>2677</v>
      </c>
      <c r="H82" s="538"/>
      <c r="I82" s="538"/>
      <c r="J82" s="538"/>
      <c r="K82" s="538"/>
      <c r="L82" s="538"/>
      <c r="M82" s="1379"/>
      <c r="N82" s="1150"/>
      <c r="O82" s="1150"/>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7"/>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9"/>
      <c r="O84" s="1149"/>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7"/>
      <c r="Q85" s="503"/>
    </row>
    <row r="86" spans="1:17" s="117" customFormat="1" ht="15.75" thickTop="1">
      <c r="A86" s="578"/>
      <c r="B86" s="537" t="s">
        <v>2678</v>
      </c>
      <c r="C86" s="553"/>
      <c r="D86" s="553"/>
      <c r="E86" s="553"/>
      <c r="F86" s="553"/>
      <c r="G86" s="553"/>
      <c r="H86" s="553"/>
      <c r="I86" s="553"/>
      <c r="J86" s="553"/>
      <c r="K86" s="553"/>
      <c r="L86" s="579"/>
      <c r="M86" s="580"/>
      <c r="N86" s="1148"/>
      <c r="O86" s="1148"/>
      <c r="P86" s="2627"/>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7"/>
      <c r="Q87" s="503"/>
    </row>
    <row r="88" spans="1:17" s="117" customFormat="1" ht="15.75" thickTop="1">
      <c r="A88" s="578"/>
      <c r="B88" s="537" t="str">
        <f>B26</f>
        <v>平面位置/可视性</v>
      </c>
      <c r="C88" s="553"/>
      <c r="D88" s="553"/>
      <c r="E88" s="553"/>
      <c r="F88" s="2632"/>
      <c r="G88" s="553"/>
      <c r="H88" s="553"/>
      <c r="I88" s="553"/>
      <c r="J88" s="553"/>
      <c r="K88" s="553"/>
      <c r="L88" s="553"/>
      <c r="M88" s="580"/>
      <c r="N88" s="1148"/>
      <c r="O88" s="1148"/>
      <c r="P88" s="2627"/>
      <c r="Q88" s="503"/>
    </row>
    <row r="89" spans="1:17" s="117" customFormat="1" ht="15.75" thickBot="1">
      <c r="A89" s="578"/>
      <c r="B89" s="542"/>
      <c r="C89" s="559"/>
      <c r="D89" s="535"/>
      <c r="E89" s="535"/>
      <c r="F89" s="535"/>
      <c r="G89" s="535"/>
      <c r="H89" s="535"/>
      <c r="I89" s="535"/>
      <c r="J89" s="535"/>
      <c r="K89" s="535"/>
      <c r="L89" s="535"/>
      <c r="M89" s="535"/>
      <c r="N89" s="1150"/>
      <c r="O89" s="1150"/>
      <c r="P89" s="2627"/>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8"/>
      <c r="Q91" s="558"/>
    </row>
    <row r="92" spans="1:17" ht="15.75" thickTop="1">
      <c r="A92" s="533"/>
      <c r="B92" s="537" t="str">
        <f>B28</f>
        <v>楼层</v>
      </c>
      <c r="C92" s="553"/>
      <c r="D92" s="553"/>
      <c r="E92" s="553"/>
      <c r="F92" s="553"/>
      <c r="G92" s="553"/>
      <c r="H92" s="553"/>
      <c r="I92" s="553"/>
      <c r="J92" s="553"/>
      <c r="K92" s="553"/>
      <c r="L92" s="579"/>
      <c r="M92" s="580"/>
      <c r="N92" s="1149"/>
      <c r="O92" s="1149"/>
      <c r="P92" s="2627"/>
      <c r="Q92" s="503"/>
    </row>
    <row r="93" spans="1:17" ht="15.75" thickBot="1">
      <c r="A93" s="533"/>
      <c r="B93" s="542"/>
      <c r="C93" s="535"/>
      <c r="D93" s="535"/>
      <c r="E93" s="535"/>
      <c r="F93" s="535"/>
      <c r="G93" s="535"/>
      <c r="H93" s="535"/>
      <c r="I93" s="535"/>
      <c r="J93" s="535"/>
      <c r="K93" s="535"/>
      <c r="L93" s="535"/>
      <c r="M93" s="536"/>
      <c r="N93" s="1150"/>
      <c r="O93" s="1150"/>
      <c r="P93" s="2627"/>
      <c r="Q93" s="503"/>
    </row>
    <row r="94" spans="1:17" ht="15.75" thickTop="1">
      <c r="A94" s="533"/>
      <c r="B94" s="537">
        <f>B29</f>
        <v>111</v>
      </c>
      <c r="C94" s="553"/>
      <c r="D94" s="553"/>
      <c r="E94" s="553"/>
      <c r="F94" s="553"/>
      <c r="G94" s="582"/>
      <c r="H94" s="582"/>
      <c r="I94" s="582"/>
      <c r="J94" s="582"/>
      <c r="K94" s="583"/>
      <c r="L94" s="584"/>
      <c r="M94" s="585"/>
      <c r="N94" s="1149"/>
      <c r="O94" s="1149"/>
      <c r="P94" s="2627"/>
      <c r="Q94" s="503"/>
    </row>
    <row r="95" spans="1:17" ht="15.75" thickBot="1">
      <c r="A95" s="533"/>
      <c r="B95" s="542"/>
      <c r="C95" s="559"/>
      <c r="D95" s="535"/>
      <c r="E95" s="535"/>
      <c r="F95" s="535"/>
      <c r="G95" s="535"/>
      <c r="H95" s="535"/>
      <c r="I95" s="535"/>
      <c r="J95" s="535"/>
      <c r="K95" s="535"/>
      <c r="L95" s="535"/>
      <c r="M95" s="536"/>
      <c r="N95" s="1150"/>
      <c r="O95" s="1150"/>
      <c r="P95" s="2627"/>
      <c r="Q95" s="503"/>
    </row>
    <row r="96" spans="1:17" ht="15.75" thickTop="1">
      <c r="A96" s="533"/>
      <c r="B96" s="537">
        <f>B30</f>
        <v>111</v>
      </c>
      <c r="C96" s="553"/>
      <c r="D96" s="553"/>
      <c r="E96" s="553"/>
      <c r="F96" s="553"/>
      <c r="G96" s="582"/>
      <c r="H96" s="582"/>
      <c r="I96" s="582"/>
      <c r="J96" s="582"/>
      <c r="K96" s="583"/>
      <c r="L96" s="584"/>
      <c r="M96" s="585"/>
      <c r="N96" s="1149"/>
      <c r="O96" s="1149"/>
      <c r="P96" s="2627"/>
      <c r="Q96" s="503"/>
    </row>
    <row r="97" spans="1:17" ht="15.75" thickBot="1">
      <c r="A97" s="533"/>
      <c r="B97" s="542"/>
      <c r="C97" s="559"/>
      <c r="D97" s="535"/>
      <c r="E97" s="535"/>
      <c r="F97" s="535"/>
      <c r="G97" s="535"/>
      <c r="H97" s="535"/>
      <c r="I97" s="535"/>
      <c r="J97" s="535"/>
      <c r="K97" s="535"/>
      <c r="L97" s="535"/>
      <c r="M97" s="536"/>
      <c r="N97" s="1150"/>
      <c r="O97" s="1150"/>
      <c r="P97" s="2627"/>
      <c r="Q97" s="503"/>
    </row>
    <row r="98" spans="1:17" ht="15.75" thickTop="1">
      <c r="A98" s="533"/>
      <c r="B98" s="545">
        <f>B31</f>
        <v>111</v>
      </c>
      <c r="C98" s="553"/>
      <c r="D98" s="553"/>
      <c r="E98" s="553"/>
      <c r="F98" s="553"/>
      <c r="G98" s="586"/>
      <c r="H98" s="586"/>
      <c r="I98" s="586"/>
      <c r="J98" s="586"/>
      <c r="K98" s="587"/>
      <c r="L98" s="588"/>
      <c r="M98" s="589"/>
      <c r="N98" s="1149"/>
      <c r="O98" s="1149"/>
      <c r="P98" s="2627"/>
      <c r="Q98" s="503"/>
    </row>
    <row r="99" spans="1:17" ht="15.75" thickBot="1">
      <c r="A99" s="2633"/>
      <c r="B99" s="568"/>
      <c r="C99" s="569"/>
      <c r="D99" s="569"/>
      <c r="E99" s="569"/>
      <c r="F99" s="569"/>
      <c r="G99" s="590"/>
      <c r="H99" s="590"/>
      <c r="I99" s="590"/>
      <c r="J99" s="590"/>
      <c r="K99" s="590"/>
      <c r="L99" s="590"/>
      <c r="M99" s="591"/>
      <c r="N99" s="1150"/>
      <c r="O99" s="1150"/>
      <c r="P99" s="2627"/>
      <c r="Q99" s="503"/>
    </row>
    <row r="100" spans="1:17">
      <c r="A100" s="526" t="s">
        <v>2561</v>
      </c>
      <c r="B100" s="527" t="s">
        <v>2679</v>
      </c>
      <c r="C100" s="529"/>
      <c r="D100" s="529"/>
      <c r="E100" s="529"/>
      <c r="F100" s="529"/>
      <c r="G100" s="529"/>
      <c r="H100" s="529"/>
      <c r="I100" s="529"/>
      <c r="J100" s="529"/>
      <c r="K100" s="530"/>
      <c r="L100" s="531"/>
      <c r="M100" s="532"/>
      <c r="N100" s="1149"/>
      <c r="O100" s="1149"/>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7"/>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7"/>
      <c r="Q102" s="503"/>
    </row>
    <row r="103" spans="1:17" s="470" customFormat="1">
      <c r="A103" s="592"/>
      <c r="B103" s="593"/>
      <c r="C103" s="594"/>
      <c r="D103" s="594"/>
      <c r="E103" s="594"/>
      <c r="F103" s="594"/>
      <c r="G103" s="594"/>
      <c r="H103" s="594"/>
      <c r="I103" s="594"/>
      <c r="J103" s="595"/>
      <c r="K103" s="595"/>
      <c r="L103" s="596"/>
      <c r="M103" s="597"/>
      <c r="N103" s="1151"/>
      <c r="O103" s="1151"/>
      <c r="P103" s="2628"/>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8"/>
      <c r="Q104" s="558"/>
    </row>
    <row r="105" spans="1:17" ht="15" thickTop="1">
      <c r="A105" s="598"/>
      <c r="B105" s="537" t="s">
        <v>2612</v>
      </c>
      <c r="C105" s="553"/>
      <c r="D105" s="553"/>
      <c r="E105" s="582"/>
      <c r="F105" s="582"/>
      <c r="G105" s="582"/>
      <c r="H105" s="582"/>
      <c r="I105" s="582"/>
      <c r="J105" s="582"/>
      <c r="K105" s="583"/>
      <c r="L105" s="584"/>
      <c r="M105" s="585"/>
      <c r="N105" s="1149"/>
      <c r="O105" s="1149"/>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7"/>
      <c r="Q106" s="503"/>
    </row>
    <row r="107" spans="1:17" ht="15" thickTop="1">
      <c r="A107" s="598"/>
      <c r="B107" s="537" t="s">
        <v>2614</v>
      </c>
      <c r="C107" s="553"/>
      <c r="D107" s="553"/>
      <c r="E107" s="553"/>
      <c r="F107" s="582"/>
      <c r="G107" s="582"/>
      <c r="H107" s="582"/>
      <c r="I107" s="582"/>
      <c r="J107" s="582"/>
      <c r="K107" s="583"/>
      <c r="L107" s="584"/>
      <c r="M107" s="585"/>
      <c r="N107" s="1149"/>
      <c r="O107" s="1149"/>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7"/>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7"/>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7"/>
      <c r="Q111" s="503"/>
    </row>
    <row r="112" spans="1:17" s="470" customFormat="1" ht="15" thickTop="1">
      <c r="A112" s="592"/>
      <c r="B112" s="537" t="s">
        <v>2616</v>
      </c>
      <c r="C112" s="553"/>
      <c r="D112" s="553"/>
      <c r="E112" s="553"/>
      <c r="F112" s="553"/>
      <c r="G112" s="553"/>
      <c r="H112" s="582"/>
      <c r="I112" s="582"/>
      <c r="J112" s="582"/>
      <c r="K112" s="583"/>
      <c r="L112" s="584"/>
      <c r="M112" s="585"/>
      <c r="N112" s="1151"/>
      <c r="O112" s="1151"/>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8"/>
      <c r="Q113" s="558"/>
    </row>
    <row r="114" spans="1:17" ht="15" thickTop="1">
      <c r="A114" s="598"/>
      <c r="B114" s="537" t="s">
        <v>2680</v>
      </c>
      <c r="C114" s="553"/>
      <c r="D114" s="553"/>
      <c r="E114" s="582"/>
      <c r="F114" s="582"/>
      <c r="G114" s="582"/>
      <c r="H114" s="582"/>
      <c r="I114" s="582"/>
      <c r="J114" s="582"/>
      <c r="K114" s="583"/>
      <c r="L114" s="584"/>
      <c r="M114" s="585"/>
      <c r="N114" s="1149"/>
      <c r="O114" s="1149"/>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7"/>
      <c r="Q115" s="503"/>
    </row>
    <row r="116" spans="1:17" ht="15" thickTop="1">
      <c r="A116" s="598"/>
      <c r="B116" s="537" t="s">
        <v>2681</v>
      </c>
      <c r="C116" s="553"/>
      <c r="D116" s="553"/>
      <c r="E116" s="553"/>
      <c r="F116" s="553"/>
      <c r="G116" s="553"/>
      <c r="H116" s="582"/>
      <c r="I116" s="582"/>
      <c r="J116" s="582"/>
      <c r="K116" s="583"/>
      <c r="L116" s="584"/>
      <c r="M116" s="585"/>
      <c r="N116" s="1149"/>
      <c r="O116" s="1149"/>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7"/>
      <c r="Q117" s="503"/>
    </row>
    <row r="118" spans="1:17" ht="15" thickTop="1">
      <c r="A118" s="598"/>
      <c r="B118" s="537" t="s">
        <v>2682</v>
      </c>
      <c r="C118" s="626"/>
      <c r="D118" s="626"/>
      <c r="E118" s="626"/>
      <c r="F118" s="626"/>
      <c r="G118" s="626"/>
      <c r="H118" s="554"/>
      <c r="I118" s="554"/>
      <c r="J118" s="554"/>
      <c r="K118" s="554"/>
      <c r="L118" s="555"/>
      <c r="M118" s="556"/>
      <c r="N118" s="1149"/>
      <c r="O118" s="1149"/>
      <c r="P118" s="2627"/>
      <c r="Q118" s="503"/>
    </row>
    <row r="119" spans="1:17" ht="15.75" thickBot="1">
      <c r="A119" s="533"/>
      <c r="B119" s="542"/>
      <c r="C119" s="559"/>
      <c r="D119" s="535"/>
      <c r="E119" s="535"/>
      <c r="F119" s="535"/>
      <c r="G119" s="535"/>
      <c r="H119" s="535"/>
      <c r="I119" s="535"/>
      <c r="J119" s="535"/>
      <c r="K119" s="535"/>
      <c r="L119" s="535"/>
      <c r="M119" s="536"/>
      <c r="N119" s="1150"/>
      <c r="O119" s="1150"/>
      <c r="P119" s="2627"/>
      <c r="Q119" s="503"/>
    </row>
    <row r="120" spans="1:17" s="470" customFormat="1" ht="15" thickTop="1">
      <c r="A120" s="592"/>
      <c r="B120" s="537" t="s">
        <v>2683</v>
      </c>
      <c r="C120" s="582"/>
      <c r="D120" s="582"/>
      <c r="E120" s="582"/>
      <c r="F120" s="582"/>
      <c r="G120" s="554"/>
      <c r="H120" s="554"/>
      <c r="I120" s="554"/>
      <c r="J120" s="554"/>
      <c r="K120" s="554"/>
      <c r="L120" s="555"/>
      <c r="M120" s="556"/>
      <c r="N120" s="1151"/>
      <c r="O120" s="1151"/>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8"/>
      <c r="Q121" s="558"/>
    </row>
    <row r="122" spans="1:17" ht="15" thickTop="1">
      <c r="A122" s="598"/>
      <c r="B122" s="537" t="s">
        <v>2618</v>
      </c>
      <c r="C122" s="553"/>
      <c r="D122" s="553"/>
      <c r="E122" s="553"/>
      <c r="F122" s="582"/>
      <c r="G122" s="582"/>
      <c r="H122" s="582"/>
      <c r="I122" s="582"/>
      <c r="J122" s="582"/>
      <c r="K122" s="583"/>
      <c r="L122" s="584"/>
      <c r="M122" s="585"/>
      <c r="N122" s="1149"/>
      <c r="O122" s="1149"/>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7"/>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9"/>
      <c r="O124" s="1149"/>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7"/>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8"/>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8"/>
      <c r="Q127" s="558"/>
    </row>
    <row r="128" spans="1:17" ht="15" thickTop="1">
      <c r="A128" s="598"/>
      <c r="B128" s="537">
        <f>B45</f>
        <v>111</v>
      </c>
      <c r="C128" s="553"/>
      <c r="D128" s="553"/>
      <c r="E128" s="553"/>
      <c r="F128" s="553"/>
      <c r="G128" s="582"/>
      <c r="H128" s="582"/>
      <c r="I128" s="582"/>
      <c r="J128" s="582"/>
      <c r="K128" s="583"/>
      <c r="L128" s="584"/>
      <c r="M128" s="585"/>
      <c r="N128" s="1149"/>
      <c r="O128" s="1149"/>
      <c r="P128" s="2627"/>
      <c r="Q128" s="503"/>
    </row>
    <row r="129" spans="1:17" ht="15.75" thickBot="1">
      <c r="A129" s="533"/>
      <c r="B129" s="542"/>
      <c r="C129" s="559"/>
      <c r="D129" s="535"/>
      <c r="E129" s="535"/>
      <c r="F129" s="535"/>
      <c r="G129" s="535"/>
      <c r="H129" s="535"/>
      <c r="I129" s="535"/>
      <c r="J129" s="535"/>
      <c r="K129" s="535"/>
      <c r="L129" s="535"/>
      <c r="M129" s="536"/>
      <c r="N129" s="1150"/>
      <c r="O129" s="1150"/>
      <c r="P129" s="2627"/>
      <c r="Q129" s="503"/>
    </row>
    <row r="130" spans="1:17" ht="15" thickTop="1">
      <c r="A130" s="598"/>
      <c r="B130" s="545">
        <f>B46</f>
        <v>111</v>
      </c>
      <c r="C130" s="553"/>
      <c r="D130" s="553"/>
      <c r="E130" s="553"/>
      <c r="F130" s="553"/>
      <c r="G130" s="586"/>
      <c r="H130" s="586"/>
      <c r="I130" s="586"/>
      <c r="J130" s="586"/>
      <c r="K130" s="522"/>
      <c r="L130" s="523"/>
      <c r="M130" s="589"/>
      <c r="N130" s="1149"/>
      <c r="O130" s="1149"/>
      <c r="P130" s="2627"/>
      <c r="Q130" s="503"/>
    </row>
    <row r="131" spans="1:17" ht="15.75" thickBot="1">
      <c r="A131" s="2633"/>
      <c r="B131" s="568"/>
      <c r="C131" s="569"/>
      <c r="D131" s="569"/>
      <c r="E131" s="569"/>
      <c r="F131" s="569"/>
      <c r="G131" s="590"/>
      <c r="H131" s="590"/>
      <c r="I131" s="590"/>
      <c r="J131" s="590"/>
      <c r="K131" s="590"/>
      <c r="L131" s="590"/>
      <c r="M131" s="591"/>
      <c r="N131" s="1150"/>
      <c r="O131" s="1150"/>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A13" sqref="A13"/>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中国农业银行股份有限公司北京经济技术开发区支行：</v>
      </c>
    </row>
    <row r="4" spans="1:1" ht="36">
      <c r="A4" s="1945" t="str">
        <f>"受贵公司委托，我公司对"&amp;项目基本情况!S1&amp;"进行了预评估。"</f>
        <v>受贵公司委托，我公司对北京市北京经济技术开发区荣华中路19号院2号楼-2至10层101房地产抵押价值进行了预评估。</v>
      </c>
    </row>
    <row r="5" spans="1:1" ht="18.75">
      <c r="A5" s="1946" t="s">
        <v>1608</v>
      </c>
    </row>
    <row r="6" spans="1:1" ht="18.75">
      <c r="A6" s="1947" t="s">
        <v>1609</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19号院2号楼-2至10层101房地产，为北京朝林置业有限公司所有。根据《不动产权证书》[京（2016）开发区不动产权第0013246号]及《北京朝林置业项目A、B、C座机锅炉房土地使用权面积分摊说明表》，估价对象（分摊）出让国有建设用地使用权面积为8969.46平方米，建筑面积为48967.92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19号院2号楼-2至10层101房地产,属北京朝林置业有限公司开发建设的，该项目尚在开发建设中。根据《不动产权证书》[京（2016）开发区不动产权第0013246号]及《北京朝林置业项目A、B、C座机锅炉房土地使用权面积分摊说明表》，估价对象（分摊）出让国有建设用地使用权面积为8969.46平方米，规划建筑面积为48967.92平方米。</v>
      </c>
    </row>
    <row r="11" spans="1:1" ht="76.5">
      <c r="A11" s="1948" t="s">
        <v>1612</v>
      </c>
    </row>
    <row r="12" spans="1:1" ht="18.75">
      <c r="A12" s="1946" t="s">
        <v>1613</v>
      </c>
    </row>
    <row r="13" spans="1:1" ht="123" customHeight="1">
      <c r="A13" s="1949" t="str">
        <f>IF(项目基本情况!B8="抵押",IF(项目基本情况!B5=项目基本情况!B6,定义!C51,定义!B51),定义!D51)</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2019年5月30日（评估专业人员实地查勘之日）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酒店（商业），土地取得方式为出让，出让国有建设用地使用权剩余土地使用年限为酒店（商业）24.7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商业），实际开发程度为宗地红线外“七通”（即通路、通电、通讯、通上水、通下水、燃气、）、红线内场地平整条件下，剩余土地使用年限为酒店（商业）24.7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6" t="s">
        <v>2684</v>
      </c>
      <c r="C1" s="1617" t="s">
        <v>2528</v>
      </c>
      <c r="D1" s="1618"/>
      <c r="E1" s="1627"/>
      <c r="F1" s="2581"/>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83"/>
      <c r="D2" s="1362" t="e">
        <f ca="1">SUMIF(INDIRECT("'"&amp;F2&amp;"'"&amp;"!A:A"),"承租人权益价值",INDIRECT("'"&amp;F2&amp;"'"&amp;"!c:c"))</f>
        <v>#REF!</v>
      </c>
      <c r="E2" s="2584" t="s">
        <v>2326</v>
      </c>
      <c r="F2" s="2585"/>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2327</v>
      </c>
      <c r="B3" s="608" t="e">
        <f ca="1">IF(C2="——",C50,ROUND(B2*10000/D3,0))</f>
        <v>#DIV/0!</v>
      </c>
      <c r="C3" s="399" t="s">
        <v>2642</v>
      </c>
      <c r="D3" s="398">
        <f>IF(D1="",'数据-汇总表'!E3,SUMIF('数据-汇总表'!$C19:$C33,D1,'数据-汇总表'!$E19:$E33))</f>
        <v>48967.92</v>
      </c>
      <c r="E3" s="2660"/>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268" t="s">
        <v>2649</v>
      </c>
      <c r="Q4" s="3269"/>
      <c r="R4" s="3272" t="s">
        <v>2645</v>
      </c>
      <c r="S4" s="3273"/>
      <c r="T4" s="3272" t="s">
        <v>2646</v>
      </c>
      <c r="U4" s="3273"/>
      <c r="V4" s="3274" t="s">
        <v>2647</v>
      </c>
      <c r="W4" s="3274"/>
      <c r="X4" s="2667"/>
      <c r="Y4" s="3272" t="s">
        <v>2649</v>
      </c>
      <c r="Z4" s="3273"/>
      <c r="AA4" s="3276" t="s">
        <v>2645</v>
      </c>
      <c r="AB4" s="3276" t="s">
        <v>2646</v>
      </c>
      <c r="AC4" s="3265" t="s">
        <v>2647</v>
      </c>
    </row>
    <row r="5" spans="1:29" ht="15">
      <c r="A5" s="403"/>
      <c r="B5" s="404"/>
      <c r="C5" s="3197" t="s">
        <v>2540</v>
      </c>
      <c r="D5" s="3198"/>
      <c r="E5" s="3204" t="s">
        <v>2541</v>
      </c>
      <c r="F5" s="3205"/>
      <c r="G5" s="3197" t="s">
        <v>2542</v>
      </c>
      <c r="H5" s="3198"/>
      <c r="I5" s="3197" t="s">
        <v>2543</v>
      </c>
      <c r="J5" s="3198"/>
      <c r="K5" s="609"/>
      <c r="L5" s="1127"/>
      <c r="M5" s="1128"/>
      <c r="N5" s="1128"/>
      <c r="O5" s="1128"/>
      <c r="P5" s="3270"/>
      <c r="Q5" s="3186"/>
      <c r="R5" s="3191"/>
      <c r="S5" s="3192"/>
      <c r="T5" s="3191"/>
      <c r="U5" s="3192"/>
      <c r="V5" s="3176"/>
      <c r="W5" s="3176"/>
      <c r="X5" s="1810"/>
      <c r="Y5" s="3191"/>
      <c r="Z5" s="3192"/>
      <c r="AA5" s="3178"/>
      <c r="AB5" s="3178"/>
      <c r="AC5" s="3266"/>
    </row>
    <row r="6" spans="1:29" ht="15.75" thickBot="1">
      <c r="A6" s="405"/>
      <c r="B6" s="406"/>
      <c r="C6" s="3195" t="s">
        <v>2544</v>
      </c>
      <c r="D6" s="3196"/>
      <c r="E6" s="3202" t="s">
        <v>2544</v>
      </c>
      <c r="F6" s="3203"/>
      <c r="G6" s="3195" t="s">
        <v>2544</v>
      </c>
      <c r="H6" s="3196"/>
      <c r="I6" s="3195" t="s">
        <v>2544</v>
      </c>
      <c r="J6" s="3196"/>
      <c r="K6" s="609" t="s">
        <v>2545</v>
      </c>
      <c r="L6" s="1127"/>
      <c r="M6" s="1128"/>
      <c r="N6" s="1128"/>
      <c r="O6" s="1128"/>
      <c r="P6" s="3271"/>
      <c r="Q6" s="3188"/>
      <c r="R6" s="3191"/>
      <c r="S6" s="3192"/>
      <c r="T6" s="3193"/>
      <c r="U6" s="3194"/>
      <c r="V6" s="3176"/>
      <c r="W6" s="3176"/>
      <c r="X6" s="1810"/>
      <c r="Y6" s="3193"/>
      <c r="Z6" s="3194"/>
      <c r="AA6" s="3179"/>
      <c r="AB6" s="3179"/>
      <c r="AC6" s="3267"/>
    </row>
    <row r="7" spans="1:29" s="117" customFormat="1" ht="15.75" thickBot="1">
      <c r="A7" s="407" t="s">
        <v>2546</v>
      </c>
      <c r="B7" s="408"/>
      <c r="C7" s="409">
        <f>'数据-取费表'!B2</f>
        <v>43615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75" t="s">
        <v>2547</v>
      </c>
      <c r="Q7" s="3201"/>
      <c r="R7" s="768" t="s">
        <v>17</v>
      </c>
      <c r="S7" s="769">
        <f t="shared" ref="S7:S15" si="0">F7</f>
        <v>0</v>
      </c>
      <c r="T7" s="768" t="s">
        <v>17</v>
      </c>
      <c r="U7" s="769">
        <f t="shared" ref="U7:U15" si="1">H7</f>
        <v>0</v>
      </c>
      <c r="V7" s="768" t="s">
        <v>17</v>
      </c>
      <c r="W7" s="769">
        <f t="shared" ref="W7:W15" si="2">J7</f>
        <v>0</v>
      </c>
      <c r="X7" s="770"/>
      <c r="Y7" s="3199" t="s">
        <v>2547</v>
      </c>
      <c r="Z7" s="3200"/>
      <c r="AA7" s="771" t="e">
        <f>D7/F7</f>
        <v>#DIV/0!</v>
      </c>
      <c r="AB7" s="771" t="e">
        <f>D7/H7</f>
        <v>#DIV/0!</v>
      </c>
      <c r="AC7" s="2668" t="e">
        <f>D7/J7</f>
        <v>#DIV/0!</v>
      </c>
    </row>
    <row r="8" spans="1:29" s="117"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75" t="s">
        <v>2550</v>
      </c>
      <c r="Q8" s="3200"/>
      <c r="R8" s="768" t="s">
        <v>17</v>
      </c>
      <c r="S8" s="769">
        <f t="shared" si="0"/>
        <v>0</v>
      </c>
      <c r="T8" s="768" t="s">
        <v>17</v>
      </c>
      <c r="U8" s="769">
        <f t="shared" si="1"/>
        <v>0</v>
      </c>
      <c r="V8" s="768" t="s">
        <v>17</v>
      </c>
      <c r="W8" s="769">
        <f t="shared" si="2"/>
        <v>0</v>
      </c>
      <c r="X8" s="770"/>
      <c r="Y8" s="3199" t="s">
        <v>2550</v>
      </c>
      <c r="Z8" s="3200"/>
      <c r="AA8" s="771" t="e">
        <f t="shared" ref="AA8:AA47" si="3">D8/F8</f>
        <v>#DIV/0!</v>
      </c>
      <c r="AB8" s="771" t="e">
        <f t="shared" ref="AB8:AB47" si="4">D8/H8</f>
        <v>#DIV/0!</v>
      </c>
      <c r="AC8" s="2668" t="e">
        <f t="shared" ref="AC8:AC47" si="5">D8/J8</f>
        <v>#DIV/0!</v>
      </c>
    </row>
    <row r="9" spans="1:29" s="117"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169"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2668">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169"/>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2668">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169"/>
      <c r="Q11" s="1792"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2668" t="e">
        <f t="shared" si="5"/>
        <v>#N/A</v>
      </c>
    </row>
    <row r="12" spans="1:29" s="117"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29"/>
      <c r="M12" s="1130"/>
      <c r="N12" s="1130"/>
      <c r="O12" s="1130"/>
      <c r="P12" s="3169"/>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7"/>
      <c r="M13" s="1128"/>
      <c r="N13" s="1128"/>
      <c r="O13" s="1128"/>
      <c r="P13" s="3169"/>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7"/>
      <c r="M14" s="1128"/>
      <c r="N14" s="1128"/>
      <c r="O14" s="1128"/>
      <c r="P14" s="3169"/>
      <c r="Q14" s="1792">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2668">
        <f t="shared" si="5"/>
        <v>1</v>
      </c>
    </row>
    <row r="15" spans="1:29" ht="71.25">
      <c r="A15" s="439" t="s">
        <v>2557</v>
      </c>
      <c r="B15" s="628" t="s">
        <v>2685</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60" t="s">
        <v>2558</v>
      </c>
      <c r="Q15" s="1807" t="str">
        <f t="shared" si="6"/>
        <v>办公集聚程度</v>
      </c>
      <c r="R15" s="772" t="s">
        <v>17</v>
      </c>
      <c r="S15" s="773">
        <f t="shared" si="0"/>
        <v>100</v>
      </c>
      <c r="T15" s="772" t="s">
        <v>17</v>
      </c>
      <c r="U15" s="773">
        <f t="shared" si="1"/>
        <v>100</v>
      </c>
      <c r="V15" s="772" t="s">
        <v>17</v>
      </c>
      <c r="W15" s="773">
        <f t="shared" si="2"/>
        <v>100</v>
      </c>
      <c r="X15" s="1810"/>
      <c r="Y15" s="3172" t="s">
        <v>2558</v>
      </c>
      <c r="Z15" s="1811" t="str">
        <f t="shared" si="7"/>
        <v>办公集聚程度</v>
      </c>
      <c r="AA15" s="1808">
        <f t="shared" si="3"/>
        <v>1</v>
      </c>
      <c r="AB15" s="1808">
        <f t="shared" si="4"/>
        <v>1</v>
      </c>
      <c r="AC15" s="2671">
        <f t="shared" si="5"/>
        <v>1</v>
      </c>
    </row>
    <row r="16" spans="1:29" ht="15">
      <c r="A16" s="427"/>
      <c r="B16" s="629"/>
      <c r="C16" s="2608"/>
      <c r="D16" s="447"/>
      <c r="E16" s="446"/>
      <c r="F16" s="447"/>
      <c r="G16" s="2608"/>
      <c r="H16" s="449"/>
      <c r="I16" s="446"/>
      <c r="J16" s="447"/>
      <c r="K16" s="614"/>
      <c r="L16" s="1137"/>
      <c r="M16" s="1128"/>
      <c r="N16" s="1128"/>
      <c r="O16" s="1128"/>
      <c r="P16" s="3261"/>
      <c r="Q16" s="1807"/>
      <c r="R16" s="772"/>
      <c r="S16" s="773"/>
      <c r="T16" s="772"/>
      <c r="U16" s="773"/>
      <c r="V16" s="772"/>
      <c r="W16" s="773"/>
      <c r="X16" s="1810"/>
      <c r="Y16" s="3173"/>
      <c r="Z16" s="1811"/>
      <c r="AA16" s="1808">
        <v>1</v>
      </c>
      <c r="AB16" s="1808">
        <v>1</v>
      </c>
      <c r="AC16" s="2671">
        <v>1</v>
      </c>
    </row>
    <row r="17" spans="1:29" ht="71.25">
      <c r="A17" s="427"/>
      <c r="B17" s="630" t="s">
        <v>2094</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61"/>
      <c r="Q17" s="1807" t="str">
        <f>B17</f>
        <v>交通便捷度</v>
      </c>
      <c r="R17" s="772" t="s">
        <v>17</v>
      </c>
      <c r="S17" s="773">
        <f>F17</f>
        <v>100</v>
      </c>
      <c r="T17" s="772" t="s">
        <v>17</v>
      </c>
      <c r="U17" s="773">
        <f>H17</f>
        <v>100</v>
      </c>
      <c r="V17" s="772" t="s">
        <v>17</v>
      </c>
      <c r="W17" s="773">
        <f>J17</f>
        <v>100</v>
      </c>
      <c r="X17" s="1810"/>
      <c r="Y17" s="3173"/>
      <c r="Z17" s="1811" t="str">
        <f>Q17</f>
        <v>交通便捷度</v>
      </c>
      <c r="AA17" s="1808">
        <f t="shared" si="3"/>
        <v>1</v>
      </c>
      <c r="AB17" s="1808">
        <f t="shared" si="4"/>
        <v>1</v>
      </c>
      <c r="AC17" s="2671">
        <f t="shared" si="5"/>
        <v>1</v>
      </c>
    </row>
    <row r="18" spans="1:29" ht="15">
      <c r="A18" s="427"/>
      <c r="B18" s="631"/>
      <c r="C18" s="2673"/>
      <c r="D18" s="449"/>
      <c r="E18" s="2606"/>
      <c r="F18" s="449"/>
      <c r="G18" s="2607"/>
      <c r="H18" s="447"/>
      <c r="I18" s="2607"/>
      <c r="J18" s="447"/>
      <c r="K18" s="614"/>
      <c r="L18" s="1137"/>
      <c r="M18" s="1128"/>
      <c r="N18" s="1128"/>
      <c r="O18" s="1128"/>
      <c r="P18" s="3261"/>
      <c r="Q18" s="1807"/>
      <c r="R18" s="772"/>
      <c r="S18" s="773"/>
      <c r="T18" s="772"/>
      <c r="U18" s="773"/>
      <c r="V18" s="772"/>
      <c r="W18" s="773"/>
      <c r="X18" s="1810"/>
      <c r="Y18" s="3173"/>
      <c r="Z18" s="1811"/>
      <c r="AA18" s="1808">
        <v>1</v>
      </c>
      <c r="AB18" s="1808">
        <v>1</v>
      </c>
      <c r="AC18" s="2671">
        <v>1</v>
      </c>
    </row>
    <row r="19" spans="1:29" ht="42.75">
      <c r="A19" s="427"/>
      <c r="B19" s="630" t="s">
        <v>2686</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61"/>
      <c r="Q19" s="1807" t="str">
        <f>B19</f>
        <v>公共配套设施</v>
      </c>
      <c r="R19" s="772" t="s">
        <v>17</v>
      </c>
      <c r="S19" s="773">
        <f>F19</f>
        <v>100</v>
      </c>
      <c r="T19" s="772" t="s">
        <v>17</v>
      </c>
      <c r="U19" s="773">
        <f>H19</f>
        <v>100</v>
      </c>
      <c r="V19" s="772" t="s">
        <v>17</v>
      </c>
      <c r="W19" s="773">
        <f>J19</f>
        <v>100</v>
      </c>
      <c r="X19" s="1810"/>
      <c r="Y19" s="3173"/>
      <c r="Z19" s="1811" t="str">
        <f>Q19</f>
        <v>公共配套设施</v>
      </c>
      <c r="AA19" s="1808">
        <f t="shared" si="3"/>
        <v>1</v>
      </c>
      <c r="AB19" s="1808">
        <f t="shared" si="4"/>
        <v>1</v>
      </c>
      <c r="AC19" s="2671">
        <f t="shared" si="5"/>
        <v>1</v>
      </c>
    </row>
    <row r="20" spans="1:29" ht="15">
      <c r="A20" s="427"/>
      <c r="B20" s="631"/>
      <c r="C20" s="2608"/>
      <c r="D20" s="447"/>
      <c r="E20" s="2601"/>
      <c r="F20" s="447"/>
      <c r="G20" s="2602"/>
      <c r="H20" s="447"/>
      <c r="I20" s="2602"/>
      <c r="J20" s="447"/>
      <c r="K20" s="614"/>
      <c r="L20" s="1137"/>
      <c r="M20" s="1128"/>
      <c r="N20" s="1128"/>
      <c r="O20" s="1128"/>
      <c r="P20" s="3261"/>
      <c r="Q20" s="1807"/>
      <c r="R20" s="772"/>
      <c r="S20" s="773"/>
      <c r="T20" s="772"/>
      <c r="U20" s="773"/>
      <c r="V20" s="772"/>
      <c r="W20" s="773"/>
      <c r="X20" s="1810"/>
      <c r="Y20" s="3173"/>
      <c r="Z20" s="1811"/>
      <c r="AA20" s="1808">
        <v>1</v>
      </c>
      <c r="AB20" s="1808">
        <v>1</v>
      </c>
      <c r="AC20" s="2671">
        <v>1</v>
      </c>
    </row>
    <row r="21" spans="1:29" ht="28.5">
      <c r="A21" s="427"/>
      <c r="B21" s="632" t="s">
        <v>2687</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61"/>
      <c r="Q21" s="1807" t="str">
        <f>B21</f>
        <v>基础设施水平</v>
      </c>
      <c r="R21" s="772" t="s">
        <v>17</v>
      </c>
      <c r="S21" s="773">
        <f>F21</f>
        <v>100</v>
      </c>
      <c r="T21" s="772" t="s">
        <v>17</v>
      </c>
      <c r="U21" s="773">
        <f>H21</f>
        <v>100</v>
      </c>
      <c r="V21" s="772" t="s">
        <v>17</v>
      </c>
      <c r="W21" s="773">
        <f>J21</f>
        <v>100</v>
      </c>
      <c r="X21" s="1810"/>
      <c r="Y21" s="3173"/>
      <c r="Z21" s="1811" t="str">
        <f>Q21</f>
        <v>基础设施水平</v>
      </c>
      <c r="AA21" s="1808">
        <f t="shared" ref="AA21" si="8">D21/F21</f>
        <v>1</v>
      </c>
      <c r="AB21" s="1808">
        <f t="shared" ref="AB21" si="9">D21/H21</f>
        <v>1</v>
      </c>
      <c r="AC21" s="2671">
        <f t="shared" ref="AC21" si="10">D21/J21</f>
        <v>1</v>
      </c>
    </row>
    <row r="22" spans="1:29" ht="15">
      <c r="A22" s="427"/>
      <c r="B22" s="632"/>
      <c r="C22" s="2673"/>
      <c r="D22" s="447"/>
      <c r="E22" s="446"/>
      <c r="F22" s="447"/>
      <c r="G22" s="2608"/>
      <c r="H22" s="447"/>
      <c r="I22" s="2608"/>
      <c r="J22" s="447"/>
      <c r="K22" s="1380"/>
      <c r="L22" s="1137"/>
      <c r="M22" s="1128"/>
      <c r="N22" s="1128"/>
      <c r="O22" s="1128"/>
      <c r="P22" s="3261"/>
      <c r="Q22" s="1807"/>
      <c r="R22" s="772"/>
      <c r="S22" s="773"/>
      <c r="T22" s="772"/>
      <c r="U22" s="773"/>
      <c r="V22" s="772"/>
      <c r="W22" s="773"/>
      <c r="X22" s="1810"/>
      <c r="Y22" s="3173"/>
      <c r="Z22" s="1811"/>
      <c r="AA22" s="1808">
        <v>1</v>
      </c>
      <c r="AB22" s="1808">
        <v>1</v>
      </c>
      <c r="AC22" s="2671">
        <v>1</v>
      </c>
    </row>
    <row r="23" spans="1:29" ht="42.75">
      <c r="A23" s="427"/>
      <c r="B23" s="630" t="s">
        <v>2688</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61"/>
      <c r="Q23" s="1807" t="str">
        <f>B23</f>
        <v>环境质量</v>
      </c>
      <c r="R23" s="772" t="s">
        <v>17</v>
      </c>
      <c r="S23" s="773">
        <f>F23</f>
        <v>100</v>
      </c>
      <c r="T23" s="772" t="s">
        <v>17</v>
      </c>
      <c r="U23" s="773">
        <f>H23</f>
        <v>100</v>
      </c>
      <c r="V23" s="772" t="s">
        <v>17</v>
      </c>
      <c r="W23" s="773">
        <f>J23</f>
        <v>100</v>
      </c>
      <c r="X23" s="1810"/>
      <c r="Y23" s="3173"/>
      <c r="Z23" s="1811" t="str">
        <f>Q23</f>
        <v>环境质量</v>
      </c>
      <c r="AA23" s="1808">
        <f t="shared" si="3"/>
        <v>1</v>
      </c>
      <c r="AB23" s="1808">
        <f t="shared" si="4"/>
        <v>1</v>
      </c>
      <c r="AC23" s="2671">
        <f t="shared" si="5"/>
        <v>1</v>
      </c>
    </row>
    <row r="24" spans="1:29" ht="15">
      <c r="A24" s="427"/>
      <c r="B24" s="632"/>
      <c r="C24" s="2608"/>
      <c r="D24" s="447"/>
      <c r="E24" s="2601"/>
      <c r="F24" s="447"/>
      <c r="G24" s="2602"/>
      <c r="H24" s="447"/>
      <c r="I24" s="2602"/>
      <c r="J24" s="447"/>
      <c r="K24" s="614"/>
      <c r="L24" s="1137"/>
      <c r="M24" s="1128"/>
      <c r="N24" s="1128"/>
      <c r="O24" s="1128"/>
      <c r="P24" s="3261"/>
      <c r="Q24" s="1807"/>
      <c r="R24" s="772"/>
      <c r="S24" s="773"/>
      <c r="T24" s="772"/>
      <c r="U24" s="773"/>
      <c r="V24" s="772"/>
      <c r="W24" s="773"/>
      <c r="X24" s="1810"/>
      <c r="Y24" s="3173"/>
      <c r="Z24" s="1811"/>
      <c r="AA24" s="1808">
        <v>1</v>
      </c>
      <c r="AB24" s="1808">
        <v>1</v>
      </c>
      <c r="AC24" s="2671">
        <v>1</v>
      </c>
    </row>
    <row r="25" spans="1:29" ht="27">
      <c r="A25" s="403"/>
      <c r="B25" s="630" t="s">
        <v>2689</v>
      </c>
      <c r="C25" s="2612"/>
      <c r="D25" s="434">
        <v>100</v>
      </c>
      <c r="E25" s="433"/>
      <c r="F25" s="434">
        <f>SUMIF(87:87,E26,88:88)-SUMIF(87:87,C26,88:88)+100</f>
        <v>100</v>
      </c>
      <c r="G25" s="2612"/>
      <c r="H25" s="434">
        <f>SUMIF(87:87,G26,88:88)-SUMIF(87:87,C26,88:88)+100</f>
        <v>100</v>
      </c>
      <c r="I25" s="433"/>
      <c r="J25" s="434">
        <f>SUMIF(87:87,I26,88:88)-SUMIF(87:87,C26,88:88)+100</f>
        <v>100</v>
      </c>
      <c r="K25" s="613"/>
      <c r="L25" s="1137"/>
      <c r="M25" s="1128"/>
      <c r="N25" s="1128"/>
      <c r="O25" s="1128"/>
      <c r="P25" s="3261"/>
      <c r="Q25" s="1807" t="str">
        <f>B25</f>
        <v>毗邻道路的类型与等级</v>
      </c>
      <c r="R25" s="772" t="s">
        <v>17</v>
      </c>
      <c r="S25" s="773">
        <f>F25</f>
        <v>100</v>
      </c>
      <c r="T25" s="772" t="s">
        <v>17</v>
      </c>
      <c r="U25" s="773">
        <f>H25</f>
        <v>100</v>
      </c>
      <c r="V25" s="772" t="s">
        <v>17</v>
      </c>
      <c r="W25" s="773">
        <f>J25</f>
        <v>100</v>
      </c>
      <c r="X25" s="1810"/>
      <c r="Y25" s="3173"/>
      <c r="Z25" s="1811" t="str">
        <f>Q25</f>
        <v>毗邻道路的类型与等级</v>
      </c>
      <c r="AA25" s="1808">
        <f t="shared" si="3"/>
        <v>1</v>
      </c>
      <c r="AB25" s="1808">
        <f t="shared" si="4"/>
        <v>1</v>
      </c>
      <c r="AC25" s="2671">
        <f t="shared" si="5"/>
        <v>1</v>
      </c>
    </row>
    <row r="26" spans="1:29" ht="15">
      <c r="A26" s="403"/>
      <c r="B26" s="631"/>
      <c r="C26" s="633"/>
      <c r="D26" s="434"/>
      <c r="E26" s="615"/>
      <c r="F26" s="434"/>
      <c r="G26" s="633"/>
      <c r="H26" s="434"/>
      <c r="I26" s="615"/>
      <c r="J26" s="434"/>
      <c r="K26" s="614"/>
      <c r="L26" s="1137"/>
      <c r="M26" s="1128"/>
      <c r="N26" s="1128"/>
      <c r="O26" s="1128"/>
      <c r="P26" s="3261"/>
      <c r="Q26" s="1807"/>
      <c r="R26" s="772"/>
      <c r="S26" s="773"/>
      <c r="T26" s="772"/>
      <c r="U26" s="773"/>
      <c r="V26" s="772"/>
      <c r="W26" s="773"/>
      <c r="X26" s="1810"/>
      <c r="Y26" s="3173"/>
      <c r="Z26" s="1811"/>
      <c r="AA26" s="1808">
        <v>1</v>
      </c>
      <c r="AB26" s="1808">
        <v>1</v>
      </c>
      <c r="AC26" s="2671">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61"/>
      <c r="Q27" s="1807" t="str">
        <f t="shared" ref="Q27:Q47" si="11">B27</f>
        <v>楼层</v>
      </c>
      <c r="R27" s="772" t="s">
        <v>17</v>
      </c>
      <c r="S27" s="773">
        <f>F27</f>
        <v>100</v>
      </c>
      <c r="T27" s="772" t="s">
        <v>17</v>
      </c>
      <c r="U27" s="773">
        <f>H27</f>
        <v>100</v>
      </c>
      <c r="V27" s="772" t="s">
        <v>17</v>
      </c>
      <c r="W27" s="773">
        <f>J27</f>
        <v>100</v>
      </c>
      <c r="X27" s="1810"/>
      <c r="Y27" s="3173"/>
      <c r="Z27" s="1811" t="str">
        <f>Q27</f>
        <v>楼层</v>
      </c>
      <c r="AA27" s="1808">
        <f t="shared" si="3"/>
        <v>1</v>
      </c>
      <c r="AB27" s="1808">
        <f t="shared" si="4"/>
        <v>1</v>
      </c>
      <c r="AC27" s="2671">
        <f t="shared" si="5"/>
        <v>1</v>
      </c>
    </row>
    <row r="28" spans="1:29" s="117" customFormat="1" ht="15">
      <c r="A28" s="430"/>
      <c r="B28" s="630" t="s">
        <v>2690</v>
      </c>
      <c r="C28" s="2674"/>
      <c r="D28" s="461">
        <v>100</v>
      </c>
      <c r="E28" s="2662"/>
      <c r="F28" s="461">
        <f>SUMIF(91:91,E28,92:92)-SUMIF(91:91,C28,92:92)+100</f>
        <v>100</v>
      </c>
      <c r="G28" s="2674"/>
      <c r="H28" s="461">
        <f>SUMIF(91:91,G28,92:92)-SUMIF(91:91,C28,92:92)+100</f>
        <v>100</v>
      </c>
      <c r="I28" s="2662"/>
      <c r="J28" s="461">
        <f>SUMIF(91:91,I28,92:92)-SUMIF(91:91,C28,92:92)+100</f>
        <v>100</v>
      </c>
      <c r="K28" s="611"/>
      <c r="L28" s="1129"/>
      <c r="M28" s="1130"/>
      <c r="N28" s="1130"/>
      <c r="O28" s="1130"/>
      <c r="P28" s="3261"/>
      <c r="Q28" s="1792" t="str">
        <f t="shared" si="11"/>
        <v>朝向</v>
      </c>
      <c r="R28" s="768" t="s">
        <v>17</v>
      </c>
      <c r="S28" s="769">
        <f>F28</f>
        <v>100</v>
      </c>
      <c r="T28" s="768" t="s">
        <v>17</v>
      </c>
      <c r="U28" s="769">
        <f>H28</f>
        <v>100</v>
      </c>
      <c r="V28" s="768" t="s">
        <v>17</v>
      </c>
      <c r="W28" s="769">
        <f>J28</f>
        <v>100</v>
      </c>
      <c r="X28" s="770"/>
      <c r="Y28" s="3173"/>
      <c r="Z28" s="55" t="str">
        <f>Q28</f>
        <v>朝向</v>
      </c>
      <c r="AA28" s="1808">
        <f>D28/F28</f>
        <v>1</v>
      </c>
      <c r="AB28" s="1808">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7"/>
      <c r="M29" s="1128"/>
      <c r="N29" s="1128"/>
      <c r="O29" s="1128"/>
      <c r="P29" s="3261"/>
      <c r="Q29" s="1807">
        <f t="shared" si="11"/>
        <v>111</v>
      </c>
      <c r="R29" s="772" t="s">
        <v>17</v>
      </c>
      <c r="S29" s="773">
        <f t="shared" ref="S29:S47" si="12">F29</f>
        <v>100</v>
      </c>
      <c r="T29" s="772" t="s">
        <v>17</v>
      </c>
      <c r="U29" s="773">
        <f t="shared" ref="U29:U47" si="13">H29</f>
        <v>100</v>
      </c>
      <c r="V29" s="772" t="s">
        <v>17</v>
      </c>
      <c r="W29" s="773">
        <f t="shared" ref="W29:W47" si="14">J29</f>
        <v>100</v>
      </c>
      <c r="X29" s="1810"/>
      <c r="Y29" s="3173"/>
      <c r="Z29" s="1811">
        <f t="shared" ref="Z29:Z47" si="15">Q29</f>
        <v>111</v>
      </c>
      <c r="AA29" s="1808">
        <f t="shared" si="3"/>
        <v>1</v>
      </c>
      <c r="AB29" s="1808">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7"/>
      <c r="M30" s="1128"/>
      <c r="N30" s="1128"/>
      <c r="O30" s="1128"/>
      <c r="P30" s="3261"/>
      <c r="Q30" s="1807">
        <f t="shared" si="11"/>
        <v>111</v>
      </c>
      <c r="R30" s="772" t="s">
        <v>17</v>
      </c>
      <c r="S30" s="773">
        <f t="shared" si="12"/>
        <v>100</v>
      </c>
      <c r="T30" s="772" t="s">
        <v>17</v>
      </c>
      <c r="U30" s="773">
        <f t="shared" si="13"/>
        <v>100</v>
      </c>
      <c r="V30" s="772" t="s">
        <v>17</v>
      </c>
      <c r="W30" s="773">
        <f t="shared" si="14"/>
        <v>100</v>
      </c>
      <c r="X30" s="1810"/>
      <c r="Y30" s="3173"/>
      <c r="Z30" s="1811">
        <f t="shared" si="15"/>
        <v>111</v>
      </c>
      <c r="AA30" s="1808">
        <f t="shared" si="3"/>
        <v>1</v>
      </c>
      <c r="AB30" s="1808">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7"/>
      <c r="M31" s="1128"/>
      <c r="N31" s="1128"/>
      <c r="O31" s="1128"/>
      <c r="P31" s="3261"/>
      <c r="Q31" s="1807">
        <f t="shared" si="11"/>
        <v>111</v>
      </c>
      <c r="R31" s="772" t="s">
        <v>17</v>
      </c>
      <c r="S31" s="773">
        <f t="shared" si="12"/>
        <v>100</v>
      </c>
      <c r="T31" s="772" t="s">
        <v>17</v>
      </c>
      <c r="U31" s="773">
        <f t="shared" si="13"/>
        <v>100</v>
      </c>
      <c r="V31" s="772" t="s">
        <v>17</v>
      </c>
      <c r="W31" s="773">
        <f t="shared" si="14"/>
        <v>100</v>
      </c>
      <c r="X31" s="1810"/>
      <c r="Y31" s="3173"/>
      <c r="Z31" s="1811">
        <f t="shared" si="15"/>
        <v>111</v>
      </c>
      <c r="AA31" s="1808">
        <f t="shared" si="3"/>
        <v>1</v>
      </c>
      <c r="AB31" s="1808">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7"/>
      <c r="M32" s="1128"/>
      <c r="N32" s="1128"/>
      <c r="O32" s="1128"/>
      <c r="P32" s="3261"/>
      <c r="Q32" s="1807">
        <f t="shared" si="11"/>
        <v>111</v>
      </c>
      <c r="R32" s="772" t="s">
        <v>17</v>
      </c>
      <c r="S32" s="773">
        <f t="shared" si="12"/>
        <v>100</v>
      </c>
      <c r="T32" s="772" t="s">
        <v>17</v>
      </c>
      <c r="U32" s="773">
        <f t="shared" si="13"/>
        <v>100</v>
      </c>
      <c r="V32" s="772" t="s">
        <v>17</v>
      </c>
      <c r="W32" s="773">
        <f t="shared" si="14"/>
        <v>100</v>
      </c>
      <c r="X32" s="1810"/>
      <c r="Y32" s="3173"/>
      <c r="Z32" s="1811">
        <f t="shared" si="15"/>
        <v>111</v>
      </c>
      <c r="AA32" s="1808">
        <f t="shared" si="3"/>
        <v>1</v>
      </c>
      <c r="AB32" s="1808">
        <f t="shared" si="4"/>
        <v>1</v>
      </c>
      <c r="AC32" s="2671">
        <f t="shared" si="5"/>
        <v>1</v>
      </c>
    </row>
    <row r="33" spans="1:29" ht="15">
      <c r="A33" s="439" t="s">
        <v>2561</v>
      </c>
      <c r="B33" s="71" t="s">
        <v>2691</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7"/>
      <c r="M33" s="1128"/>
      <c r="N33" s="1128"/>
      <c r="O33" s="1128"/>
      <c r="P33" s="3256" t="s">
        <v>2563</v>
      </c>
      <c r="Q33" s="1807" t="str">
        <f t="shared" si="11"/>
        <v>建筑类型</v>
      </c>
      <c r="R33" s="772" t="s">
        <v>17</v>
      </c>
      <c r="S33" s="773">
        <f t="shared" si="12"/>
        <v>100</v>
      </c>
      <c r="T33" s="772" t="s">
        <v>17</v>
      </c>
      <c r="U33" s="773">
        <f t="shared" si="13"/>
        <v>100</v>
      </c>
      <c r="V33" s="772" t="s">
        <v>17</v>
      </c>
      <c r="W33" s="773">
        <f t="shared" si="14"/>
        <v>100</v>
      </c>
      <c r="X33" s="1810"/>
      <c r="Y33" s="3175" t="s">
        <v>2563</v>
      </c>
      <c r="Z33" s="1811" t="str">
        <f t="shared" si="15"/>
        <v>建筑类型</v>
      </c>
      <c r="AA33" s="1808">
        <f t="shared" si="3"/>
        <v>1</v>
      </c>
      <c r="AB33" s="1808">
        <f t="shared" si="4"/>
        <v>1</v>
      </c>
      <c r="AC33" s="2671">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57"/>
      <c r="Q34" s="774" t="str">
        <f t="shared" si="11"/>
        <v>项目建筑规模</v>
      </c>
      <c r="R34" s="775" t="s">
        <v>17</v>
      </c>
      <c r="S34" s="776" t="e">
        <f t="shared" si="12"/>
        <v>#N/A</v>
      </c>
      <c r="T34" s="775" t="s">
        <v>17</v>
      </c>
      <c r="U34" s="776" t="e">
        <f t="shared" si="13"/>
        <v>#N/A</v>
      </c>
      <c r="V34" s="775" t="s">
        <v>17</v>
      </c>
      <c r="W34" s="776" t="e">
        <f t="shared" si="14"/>
        <v>#N/A</v>
      </c>
      <c r="X34" s="777"/>
      <c r="Y34" s="3175"/>
      <c r="Z34" s="778" t="str">
        <f t="shared" si="15"/>
        <v>项目建筑规模</v>
      </c>
      <c r="AA34" s="1808" t="e">
        <f t="shared" si="3"/>
        <v>#N/A</v>
      </c>
      <c r="AB34" s="1808" t="e">
        <f t="shared" si="4"/>
        <v>#N/A</v>
      </c>
      <c r="AC34" s="2671"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57"/>
      <c r="Q35" s="1807" t="str">
        <f t="shared" si="11"/>
        <v>建筑结构</v>
      </c>
      <c r="R35" s="772" t="s">
        <v>17</v>
      </c>
      <c r="S35" s="773">
        <f t="shared" si="12"/>
        <v>100</v>
      </c>
      <c r="T35" s="772" t="s">
        <v>17</v>
      </c>
      <c r="U35" s="773">
        <f t="shared" si="13"/>
        <v>100</v>
      </c>
      <c r="V35" s="772" t="s">
        <v>17</v>
      </c>
      <c r="W35" s="773">
        <f t="shared" si="14"/>
        <v>100</v>
      </c>
      <c r="X35" s="1810"/>
      <c r="Y35" s="3175"/>
      <c r="Z35" s="1811" t="str">
        <f t="shared" si="15"/>
        <v>建筑结构</v>
      </c>
      <c r="AA35" s="1808">
        <f t="shared" si="3"/>
        <v>1</v>
      </c>
      <c r="AB35" s="1808">
        <f t="shared" si="4"/>
        <v>1</v>
      </c>
      <c r="AC35" s="2671">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57"/>
      <c r="Q36" s="1807" t="str">
        <f t="shared" si="11"/>
        <v>公共部分装修</v>
      </c>
      <c r="R36" s="772" t="s">
        <v>17</v>
      </c>
      <c r="S36" s="773">
        <f t="shared" si="12"/>
        <v>100</v>
      </c>
      <c r="T36" s="772" t="s">
        <v>17</v>
      </c>
      <c r="U36" s="773">
        <f t="shared" si="13"/>
        <v>100</v>
      </c>
      <c r="V36" s="772" t="s">
        <v>17</v>
      </c>
      <c r="W36" s="773">
        <f t="shared" si="14"/>
        <v>100</v>
      </c>
      <c r="X36" s="1810"/>
      <c r="Y36" s="3175"/>
      <c r="Z36" s="1811" t="str">
        <f t="shared" si="15"/>
        <v>公共部分装修</v>
      </c>
      <c r="AA36" s="1808">
        <f t="shared" si="3"/>
        <v>1</v>
      </c>
      <c r="AB36" s="1808">
        <f t="shared" si="4"/>
        <v>1</v>
      </c>
      <c r="AC36" s="2671">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57"/>
      <c r="Q37" s="1807" t="str">
        <f t="shared" si="11"/>
        <v>成新度</v>
      </c>
      <c r="R37" s="772" t="s">
        <v>17</v>
      </c>
      <c r="S37" s="773" t="e">
        <f t="shared" si="12"/>
        <v>#N/A</v>
      </c>
      <c r="T37" s="772" t="s">
        <v>17</v>
      </c>
      <c r="U37" s="773" t="e">
        <f t="shared" si="13"/>
        <v>#N/A</v>
      </c>
      <c r="V37" s="772" t="s">
        <v>17</v>
      </c>
      <c r="W37" s="773" t="e">
        <f t="shared" si="14"/>
        <v>#N/A</v>
      </c>
      <c r="X37" s="1810"/>
      <c r="Y37" s="3175"/>
      <c r="Z37" s="1811" t="str">
        <f t="shared" si="15"/>
        <v>成新度</v>
      </c>
      <c r="AA37" s="1808" t="e">
        <f t="shared" si="3"/>
        <v>#N/A</v>
      </c>
      <c r="AB37" s="1808" t="e">
        <f t="shared" si="4"/>
        <v>#N/A</v>
      </c>
      <c r="AC37" s="2671" t="e">
        <f t="shared" si="5"/>
        <v>#N/A</v>
      </c>
    </row>
    <row r="38" spans="1:29" s="117"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57"/>
      <c r="Q38" s="1792" t="str">
        <f t="shared" si="11"/>
        <v>写字楼等级</v>
      </c>
      <c r="R38" s="768" t="s">
        <v>17</v>
      </c>
      <c r="S38" s="769">
        <f t="shared" si="12"/>
        <v>100</v>
      </c>
      <c r="T38" s="768" t="s">
        <v>17</v>
      </c>
      <c r="U38" s="769">
        <f t="shared" si="13"/>
        <v>100</v>
      </c>
      <c r="V38" s="768" t="s">
        <v>17</v>
      </c>
      <c r="W38" s="769">
        <f t="shared" si="14"/>
        <v>100</v>
      </c>
      <c r="X38" s="770"/>
      <c r="Y38" s="3175"/>
      <c r="Z38" s="55" t="str">
        <f t="shared" si="15"/>
        <v>写字楼等级</v>
      </c>
      <c r="AA38" s="771">
        <f t="shared" si="3"/>
        <v>1</v>
      </c>
      <c r="AB38" s="771">
        <f t="shared" si="4"/>
        <v>1</v>
      </c>
      <c r="AC38" s="2668">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57" t="s">
        <v>2563</v>
      </c>
      <c r="Q39" s="1807" t="str">
        <f t="shared" si="11"/>
        <v>物业管理</v>
      </c>
      <c r="R39" s="772" t="s">
        <v>17</v>
      </c>
      <c r="S39" s="773">
        <f t="shared" si="12"/>
        <v>100</v>
      </c>
      <c r="T39" s="772" t="s">
        <v>17</v>
      </c>
      <c r="U39" s="773">
        <f t="shared" si="13"/>
        <v>100</v>
      </c>
      <c r="V39" s="772" t="s">
        <v>17</v>
      </c>
      <c r="W39" s="773">
        <f t="shared" si="14"/>
        <v>100</v>
      </c>
      <c r="X39" s="1810"/>
      <c r="Y39" s="3175" t="s">
        <v>2563</v>
      </c>
      <c r="Z39" s="1811" t="str">
        <f t="shared" si="15"/>
        <v>物业管理</v>
      </c>
      <c r="AA39" s="1808">
        <f t="shared" si="3"/>
        <v>1</v>
      </c>
      <c r="AB39" s="1808">
        <f t="shared" si="4"/>
        <v>1</v>
      </c>
      <c r="AC39" s="2671">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57"/>
      <c r="Q40" s="1807" t="str">
        <f t="shared" si="11"/>
        <v>市政基础设施</v>
      </c>
      <c r="R40" s="772" t="s">
        <v>17</v>
      </c>
      <c r="S40" s="773">
        <f t="shared" si="12"/>
        <v>100</v>
      </c>
      <c r="T40" s="772" t="s">
        <v>17</v>
      </c>
      <c r="U40" s="773">
        <f t="shared" si="13"/>
        <v>100</v>
      </c>
      <c r="V40" s="772" t="s">
        <v>17</v>
      </c>
      <c r="W40" s="773">
        <f t="shared" si="14"/>
        <v>100</v>
      </c>
      <c r="X40" s="1810"/>
      <c r="Y40" s="3175"/>
      <c r="Z40" s="1811" t="str">
        <f t="shared" si="15"/>
        <v>市政基础设施</v>
      </c>
      <c r="AA40" s="1808">
        <f t="shared" si="3"/>
        <v>1</v>
      </c>
      <c r="AB40" s="1808">
        <f t="shared" si="4"/>
        <v>1</v>
      </c>
      <c r="AC40" s="2671">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57"/>
      <c r="Q41" s="1807" t="str">
        <f t="shared" si="11"/>
        <v>层高</v>
      </c>
      <c r="R41" s="772" t="s">
        <v>17</v>
      </c>
      <c r="S41" s="773">
        <f t="shared" si="12"/>
        <v>100</v>
      </c>
      <c r="T41" s="772" t="s">
        <v>17</v>
      </c>
      <c r="U41" s="773">
        <f t="shared" si="13"/>
        <v>100</v>
      </c>
      <c r="V41" s="772" t="s">
        <v>17</v>
      </c>
      <c r="W41" s="773">
        <f t="shared" si="14"/>
        <v>100</v>
      </c>
      <c r="X41" s="1810"/>
      <c r="Y41" s="3175"/>
      <c r="Z41" s="1811" t="str">
        <f t="shared" si="15"/>
        <v>层高</v>
      </c>
      <c r="AA41" s="1808">
        <f t="shared" si="3"/>
        <v>1</v>
      </c>
      <c r="AB41" s="1808">
        <f t="shared" si="4"/>
        <v>1</v>
      </c>
      <c r="AC41" s="2671">
        <f t="shared" si="5"/>
        <v>1</v>
      </c>
    </row>
    <row r="42" spans="1:29" s="470" customFormat="1" ht="15">
      <c r="A42" s="467"/>
      <c r="B42" s="1809"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57"/>
      <c r="Q42" s="774" t="str">
        <f t="shared" si="11"/>
        <v>单套建筑面积</v>
      </c>
      <c r="R42" s="775" t="s">
        <v>17</v>
      </c>
      <c r="S42" s="776">
        <f t="shared" si="12"/>
        <v>100</v>
      </c>
      <c r="T42" s="775" t="s">
        <v>17</v>
      </c>
      <c r="U42" s="776">
        <f t="shared" si="13"/>
        <v>100</v>
      </c>
      <c r="V42" s="775" t="s">
        <v>17</v>
      </c>
      <c r="W42" s="776">
        <f t="shared" si="14"/>
        <v>100</v>
      </c>
      <c r="X42" s="777"/>
      <c r="Y42" s="3175"/>
      <c r="Z42" s="778" t="str">
        <f t="shared" si="15"/>
        <v>单套建筑面积</v>
      </c>
      <c r="AA42" s="1808">
        <f t="shared" si="3"/>
        <v>1</v>
      </c>
      <c r="AB42" s="1808">
        <f t="shared" si="4"/>
        <v>1</v>
      </c>
      <c r="AC42" s="2671">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57"/>
      <c r="Q43" s="1807" t="str">
        <f t="shared" si="11"/>
        <v>内部装修</v>
      </c>
      <c r="R43" s="772" t="s">
        <v>17</v>
      </c>
      <c r="S43" s="773">
        <f t="shared" si="12"/>
        <v>100</v>
      </c>
      <c r="T43" s="772" t="s">
        <v>17</v>
      </c>
      <c r="U43" s="773">
        <f t="shared" si="13"/>
        <v>100</v>
      </c>
      <c r="V43" s="772" t="s">
        <v>17</v>
      </c>
      <c r="W43" s="773">
        <f t="shared" si="14"/>
        <v>100</v>
      </c>
      <c r="X43" s="1810"/>
      <c r="Y43" s="3175"/>
      <c r="Z43" s="1811" t="str">
        <f t="shared" si="15"/>
        <v>内部装修</v>
      </c>
      <c r="AA43" s="1808">
        <f t="shared" si="3"/>
        <v>1</v>
      </c>
      <c r="AB43" s="1808">
        <f t="shared" si="4"/>
        <v>1</v>
      </c>
      <c r="AC43" s="2671">
        <f t="shared" si="5"/>
        <v>1</v>
      </c>
    </row>
    <row r="44" spans="1:29" ht="15">
      <c r="A44" s="471"/>
      <c r="B44" s="421" t="s">
        <v>2574</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7"/>
      <c r="M44" s="1128"/>
      <c r="N44" s="1128"/>
      <c r="O44" s="1128"/>
      <c r="P44" s="3257"/>
      <c r="Q44" s="1807" t="str">
        <f t="shared" si="11"/>
        <v>内部装修维护情况</v>
      </c>
      <c r="R44" s="772" t="s">
        <v>17</v>
      </c>
      <c r="S44" s="773">
        <f t="shared" si="12"/>
        <v>100</v>
      </c>
      <c r="T44" s="772" t="s">
        <v>17</v>
      </c>
      <c r="U44" s="773">
        <f t="shared" si="13"/>
        <v>100</v>
      </c>
      <c r="V44" s="772" t="s">
        <v>17</v>
      </c>
      <c r="W44" s="773">
        <f t="shared" si="14"/>
        <v>100</v>
      </c>
      <c r="X44" s="1810"/>
      <c r="Y44" s="3175"/>
      <c r="Z44" s="1811" t="str">
        <f t="shared" si="15"/>
        <v>内部装修维护情况</v>
      </c>
      <c r="AA44" s="1808">
        <f t="shared" si="3"/>
        <v>1</v>
      </c>
      <c r="AB44" s="1808">
        <f t="shared" si="4"/>
        <v>1</v>
      </c>
      <c r="AC44" s="2671">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57"/>
      <c r="Q45" s="1792">
        <f t="shared" si="11"/>
        <v>111</v>
      </c>
      <c r="R45" s="768" t="s">
        <v>17</v>
      </c>
      <c r="S45" s="769">
        <f t="shared" si="12"/>
        <v>100</v>
      </c>
      <c r="T45" s="768" t="s">
        <v>17</v>
      </c>
      <c r="U45" s="769">
        <f t="shared" si="13"/>
        <v>100</v>
      </c>
      <c r="V45" s="768" t="s">
        <v>17</v>
      </c>
      <c r="W45" s="769">
        <f t="shared" si="14"/>
        <v>100</v>
      </c>
      <c r="X45" s="770"/>
      <c r="Y45" s="3175"/>
      <c r="Z45" s="55">
        <f t="shared" si="15"/>
        <v>111</v>
      </c>
      <c r="AA45" s="771">
        <f t="shared" si="3"/>
        <v>1</v>
      </c>
      <c r="AB45" s="771">
        <f t="shared" si="4"/>
        <v>1</v>
      </c>
      <c r="AC45" s="2668">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57"/>
      <c r="Q46" s="1807">
        <f t="shared" si="11"/>
        <v>111</v>
      </c>
      <c r="R46" s="772" t="s">
        <v>17</v>
      </c>
      <c r="S46" s="773">
        <f t="shared" si="12"/>
        <v>100</v>
      </c>
      <c r="T46" s="772" t="s">
        <v>17</v>
      </c>
      <c r="U46" s="773">
        <f t="shared" si="13"/>
        <v>100</v>
      </c>
      <c r="V46" s="772" t="s">
        <v>17</v>
      </c>
      <c r="W46" s="773">
        <f t="shared" si="14"/>
        <v>100</v>
      </c>
      <c r="X46" s="1810"/>
      <c r="Y46" s="3175"/>
      <c r="Z46" s="1811">
        <f t="shared" si="15"/>
        <v>111</v>
      </c>
      <c r="AA46" s="1808">
        <f t="shared" si="3"/>
        <v>1</v>
      </c>
      <c r="AB46" s="1808">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58"/>
      <c r="Q47" s="1807">
        <f t="shared" si="11"/>
        <v>111</v>
      </c>
      <c r="R47" s="772" t="s">
        <v>17</v>
      </c>
      <c r="S47" s="773">
        <f t="shared" si="12"/>
        <v>100</v>
      </c>
      <c r="T47" s="772" t="s">
        <v>17</v>
      </c>
      <c r="U47" s="773">
        <f t="shared" si="13"/>
        <v>100</v>
      </c>
      <c r="V47" s="772" t="s">
        <v>17</v>
      </c>
      <c r="W47" s="773">
        <f t="shared" si="14"/>
        <v>100</v>
      </c>
      <c r="X47" s="1810"/>
      <c r="Y47" s="3259"/>
      <c r="Z47" s="1811">
        <f t="shared" si="15"/>
        <v>111</v>
      </c>
      <c r="AA47" s="1808">
        <f t="shared" si="3"/>
        <v>1</v>
      </c>
      <c r="AB47" s="1808">
        <f t="shared" si="4"/>
        <v>1</v>
      </c>
      <c r="AC47" s="2671">
        <f t="shared" si="5"/>
        <v>1</v>
      </c>
    </row>
    <row r="48" spans="1:29" ht="15">
      <c r="A48" s="478" t="s">
        <v>2575</v>
      </c>
      <c r="B48" s="479"/>
      <c r="C48" s="1404" t="s">
        <v>1</v>
      </c>
      <c r="D48" s="1405"/>
      <c r="E48" s="1406"/>
      <c r="F48" s="1407"/>
      <c r="G48" s="1408"/>
      <c r="H48" s="1409"/>
      <c r="I48" s="1406"/>
      <c r="J48" s="484"/>
      <c r="K48" s="781"/>
      <c r="L48" s="1140"/>
      <c r="M48" s="1128"/>
      <c r="N48" s="1128"/>
      <c r="O48" s="1128"/>
      <c r="P48" s="3169" t="str">
        <f>A48</f>
        <v>成交单价（元/平方米）</v>
      </c>
      <c r="Q48" s="3170"/>
      <c r="R48" s="3255">
        <f>E48</f>
        <v>0</v>
      </c>
      <c r="S48" s="3255"/>
      <c r="T48" s="3255">
        <f>G48</f>
        <v>0</v>
      </c>
      <c r="U48" s="3255"/>
      <c r="V48" s="3255">
        <f>I48</f>
        <v>0</v>
      </c>
      <c r="W48" s="3255"/>
      <c r="X48" s="445"/>
      <c r="Y48" s="779"/>
      <c r="Z48" s="445"/>
      <c r="AA48" s="445"/>
      <c r="AB48" s="445"/>
      <c r="AC48" s="629"/>
    </row>
    <row r="49" spans="1:29" ht="15.75" thickBot="1">
      <c r="A49" s="485" t="s">
        <v>2667</v>
      </c>
      <c r="B49" s="486"/>
      <c r="C49" s="1410" t="e">
        <f>R50</f>
        <v>#DIV/0!</v>
      </c>
      <c r="D49" s="1411"/>
      <c r="E49" s="1412" t="e">
        <f>R49</f>
        <v>#DIV/0!</v>
      </c>
      <c r="F49" s="1412"/>
      <c r="G49" s="1410" t="e">
        <f>T49</f>
        <v>#DIV/0!</v>
      </c>
      <c r="H49" s="1411"/>
      <c r="I49" s="1412" t="e">
        <f>V49</f>
        <v>#DIV/0!</v>
      </c>
      <c r="J49" s="488"/>
      <c r="K49" s="782"/>
      <c r="L49" s="1140"/>
      <c r="M49" s="1128"/>
      <c r="N49" s="1128"/>
      <c r="O49" s="1128"/>
      <c r="P49" s="3169" t="str">
        <f>A49</f>
        <v>比较价值（元/平方米）</v>
      </c>
      <c r="Q49" s="3170"/>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5"/>
      <c r="Y49" s="445"/>
      <c r="Z49" s="445"/>
      <c r="AA49" s="445"/>
      <c r="AB49" s="445"/>
      <c r="AC49" s="629"/>
    </row>
    <row r="50" spans="1:29" ht="15.75" thickBot="1">
      <c r="A50" s="491" t="s">
        <v>2668</v>
      </c>
      <c r="B50" s="492"/>
      <c r="C50" s="1414" t="e">
        <f>R50</f>
        <v>#DIV/0!</v>
      </c>
      <c r="D50" s="1414"/>
      <c r="E50" s="1414"/>
      <c r="F50" s="1414"/>
      <c r="G50" s="1414"/>
      <c r="H50" s="1414"/>
      <c r="I50" s="1414"/>
      <c r="J50" s="493"/>
      <c r="K50" s="783"/>
      <c r="L50" s="1140"/>
      <c r="M50" s="1128"/>
      <c r="N50" s="1128"/>
      <c r="O50" s="1128"/>
      <c r="P50" s="3262" t="str">
        <f>A50</f>
        <v>估价对象XX用房的比较价值（楼面单价，元/平方米）</v>
      </c>
      <c r="Q50" s="3263"/>
      <c r="R50" s="3264" t="e">
        <f>IF(F1="售价",ROUND(AVERAGE(R49:V49),0),ROUND(AVERAGE(R49:V49),1))</f>
        <v>#DIV/0!</v>
      </c>
      <c r="S50" s="3264"/>
      <c r="T50" s="3264"/>
      <c r="U50" s="3264"/>
      <c r="V50" s="3264"/>
      <c r="W50" s="3264"/>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7"/>
    </row>
    <row r="56" spans="1:29" s="501"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1" t="s">
        <v>2672</v>
      </c>
      <c r="B58" s="757"/>
      <c r="C58" s="762"/>
      <c r="D58" s="762"/>
      <c r="E58" s="762"/>
      <c r="F58" s="763"/>
      <c r="G58" s="763"/>
      <c r="H58" s="762"/>
      <c r="I58" s="762"/>
      <c r="J58" s="762"/>
      <c r="K58" s="764"/>
      <c r="L58" s="1158"/>
      <c r="M58" s="1156"/>
      <c r="N58" s="1156"/>
      <c r="O58" s="1156"/>
      <c r="P58" s="2678"/>
      <c r="Q58" s="503"/>
    </row>
    <row r="59" spans="1:29" s="507" customFormat="1" ht="15">
      <c r="A59" s="504" t="s">
        <v>2546</v>
      </c>
      <c r="B59" s="505"/>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7" customFormat="1" ht="15">
      <c r="A60" s="508"/>
      <c r="B60" s="509"/>
      <c r="C60" s="1570">
        <v>100</v>
      </c>
      <c r="D60" s="511"/>
      <c r="E60" s="511"/>
      <c r="F60" s="511"/>
      <c r="G60" s="511"/>
      <c r="H60" s="511"/>
      <c r="I60" s="511"/>
      <c r="J60" s="511"/>
      <c r="K60" s="511"/>
      <c r="L60" s="511"/>
      <c r="M60" s="512"/>
      <c r="N60" s="511"/>
      <c r="O60" s="512"/>
      <c r="P60" s="2679"/>
    </row>
    <row r="61" spans="1:29" s="117" customFormat="1" ht="15.75" thickBot="1">
      <c r="A61" s="514" t="s">
        <v>2583</v>
      </c>
      <c r="B61" s="515"/>
      <c r="C61" s="516"/>
      <c r="D61" s="517"/>
      <c r="E61" s="517"/>
      <c r="F61" s="517"/>
      <c r="G61" s="517"/>
      <c r="H61" s="517"/>
      <c r="I61" s="517"/>
      <c r="J61" s="517"/>
      <c r="K61" s="517"/>
      <c r="L61" s="517"/>
      <c r="M61" s="518"/>
      <c r="N61" s="517"/>
      <c r="O61" s="518"/>
      <c r="P61" s="2679"/>
      <c r="Q61" s="503"/>
    </row>
    <row r="62" spans="1:29" s="117" customFormat="1" ht="15">
      <c r="A62" s="520" t="s">
        <v>2548</v>
      </c>
      <c r="B62" s="509"/>
      <c r="C62" s="521" t="s">
        <v>2650</v>
      </c>
      <c r="D62" s="522"/>
      <c r="E62" s="522"/>
      <c r="F62" s="522"/>
      <c r="G62" s="522"/>
      <c r="H62" s="522"/>
      <c r="I62" s="522"/>
      <c r="J62" s="522"/>
      <c r="K62" s="522"/>
      <c r="L62" s="523"/>
      <c r="M62" s="524"/>
      <c r="N62" s="1148"/>
      <c r="O62" s="1148"/>
      <c r="P62" s="2680"/>
      <c r="Q62" s="503"/>
    </row>
    <row r="63" spans="1:29" s="117" customFormat="1" ht="15.75" thickBot="1">
      <c r="A63" s="520"/>
      <c r="B63" s="509"/>
      <c r="C63" s="510">
        <v>100</v>
      </c>
      <c r="D63" s="511"/>
      <c r="E63" s="511"/>
      <c r="F63" s="511"/>
      <c r="G63" s="511"/>
      <c r="H63" s="511"/>
      <c r="I63" s="511"/>
      <c r="J63" s="511"/>
      <c r="K63" s="511"/>
      <c r="L63" s="511"/>
      <c r="M63" s="513"/>
      <c r="N63" s="1148"/>
      <c r="O63" s="1148"/>
      <c r="P63" s="2679"/>
      <c r="Q63" s="503"/>
    </row>
    <row r="64" spans="1:29">
      <c r="A64" s="526" t="s">
        <v>2586</v>
      </c>
      <c r="B64" s="527" t="s">
        <v>2552</v>
      </c>
      <c r="C64" s="528">
        <f>C9</f>
        <v>0</v>
      </c>
      <c r="D64" s="529"/>
      <c r="E64" s="529"/>
      <c r="F64" s="529"/>
      <c r="G64" s="529"/>
      <c r="H64" s="529"/>
      <c r="I64" s="529"/>
      <c r="J64" s="529"/>
      <c r="K64" s="530"/>
      <c r="L64" s="531"/>
      <c r="M64" s="532"/>
      <c r="N64" s="1149"/>
      <c r="O64" s="1149"/>
      <c r="P64" s="2681"/>
      <c r="Q64" s="503"/>
    </row>
    <row r="65" spans="1:17" ht="15.75" thickBot="1">
      <c r="A65" s="533"/>
      <c r="B65" s="534"/>
      <c r="C65" s="535">
        <v>100</v>
      </c>
      <c r="D65" s="535"/>
      <c r="E65" s="535"/>
      <c r="F65" s="535"/>
      <c r="G65" s="535"/>
      <c r="H65" s="535"/>
      <c r="I65" s="535"/>
      <c r="J65" s="535"/>
      <c r="K65" s="535"/>
      <c r="L65" s="535"/>
      <c r="M65" s="536"/>
      <c r="N65" s="1150"/>
      <c r="O65" s="1150"/>
      <c r="P65" s="2681"/>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49"/>
      <c r="O66" s="1149"/>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81"/>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81"/>
      <c r="Q68" s="503"/>
    </row>
    <row r="69" spans="1:17" ht="15">
      <c r="A69" s="533"/>
      <c r="B69" s="547"/>
      <c r="C69" s="548"/>
      <c r="D69" s="548"/>
      <c r="E69" s="548"/>
      <c r="F69" s="548"/>
      <c r="G69" s="548"/>
      <c r="H69" s="548"/>
      <c r="I69" s="548"/>
      <c r="J69" s="548"/>
      <c r="K69" s="549"/>
      <c r="L69" s="550"/>
      <c r="M69" s="551"/>
      <c r="N69" s="1149"/>
      <c r="O69" s="1149"/>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81"/>
      <c r="Q70" s="503"/>
    </row>
    <row r="71" spans="1:17" s="470" customFormat="1" ht="15.75" thickTop="1">
      <c r="A71" s="552"/>
      <c r="B71" s="537">
        <f>B12</f>
        <v>111</v>
      </c>
      <c r="C71" s="553"/>
      <c r="D71" s="553"/>
      <c r="E71" s="553"/>
      <c r="F71" s="553"/>
      <c r="G71" s="553"/>
      <c r="H71" s="554"/>
      <c r="I71" s="554"/>
      <c r="J71" s="554"/>
      <c r="K71" s="554"/>
      <c r="L71" s="555"/>
      <c r="M71" s="556"/>
      <c r="N71" s="1151"/>
      <c r="O71" s="1151"/>
      <c r="P71" s="2682"/>
      <c r="Q71" s="558"/>
    </row>
    <row r="72" spans="1:17" s="470" customFormat="1" ht="15.75" thickBot="1">
      <c r="A72" s="552"/>
      <c r="B72" s="542"/>
      <c r="C72" s="559"/>
      <c r="D72" s="535"/>
      <c r="E72" s="535"/>
      <c r="F72" s="535"/>
      <c r="G72" s="535"/>
      <c r="H72" s="535"/>
      <c r="I72" s="535"/>
      <c r="J72" s="535"/>
      <c r="K72" s="535"/>
      <c r="L72" s="535"/>
      <c r="M72" s="536"/>
      <c r="N72" s="1150"/>
      <c r="O72" s="1150"/>
      <c r="P72" s="2682"/>
      <c r="Q72" s="558"/>
    </row>
    <row r="73" spans="1:17" s="470" customFormat="1" ht="15.75" thickTop="1">
      <c r="A73" s="552"/>
      <c r="B73" s="537">
        <f>B13</f>
        <v>111</v>
      </c>
      <c r="C73" s="553"/>
      <c r="D73" s="553"/>
      <c r="E73" s="553"/>
      <c r="F73" s="553"/>
      <c r="G73" s="553"/>
      <c r="H73" s="554"/>
      <c r="I73" s="554"/>
      <c r="J73" s="554"/>
      <c r="K73" s="554"/>
      <c r="L73" s="555"/>
      <c r="M73" s="556"/>
      <c r="N73" s="1151"/>
      <c r="O73" s="1151"/>
      <c r="P73" s="2683"/>
      <c r="Q73" s="560"/>
    </row>
    <row r="74" spans="1:17" s="470" customFormat="1" ht="15.75" thickBot="1">
      <c r="A74" s="552"/>
      <c r="B74" s="542"/>
      <c r="C74" s="559"/>
      <c r="D74" s="559"/>
      <c r="E74" s="559"/>
      <c r="F74" s="559"/>
      <c r="G74" s="559"/>
      <c r="H74" s="561"/>
      <c r="I74" s="561"/>
      <c r="J74" s="561"/>
      <c r="K74" s="561"/>
      <c r="L74" s="561"/>
      <c r="M74" s="562"/>
      <c r="N74" s="1151"/>
      <c r="O74" s="1151"/>
      <c r="P74" s="2682"/>
      <c r="Q74" s="558"/>
    </row>
    <row r="75" spans="1:17" s="470" customFormat="1" ht="15.75" thickTop="1">
      <c r="A75" s="552"/>
      <c r="B75" s="545">
        <f>B14</f>
        <v>111</v>
      </c>
      <c r="C75" s="522"/>
      <c r="D75" s="522"/>
      <c r="E75" s="522"/>
      <c r="F75" s="522"/>
      <c r="G75" s="522"/>
      <c r="H75" s="563"/>
      <c r="I75" s="563"/>
      <c r="J75" s="563"/>
      <c r="K75" s="563"/>
      <c r="L75" s="564"/>
      <c r="M75" s="565"/>
      <c r="N75" s="1151"/>
      <c r="O75" s="1151"/>
      <c r="P75" s="2684"/>
      <c r="Q75" s="558"/>
    </row>
    <row r="76" spans="1:17" s="470" customFormat="1" ht="15.75" thickBot="1">
      <c r="A76" s="567"/>
      <c r="B76" s="568"/>
      <c r="C76" s="569"/>
      <c r="D76" s="569"/>
      <c r="E76" s="569"/>
      <c r="F76" s="569"/>
      <c r="G76" s="569"/>
      <c r="H76" s="570"/>
      <c r="I76" s="570"/>
      <c r="J76" s="570"/>
      <c r="K76" s="570"/>
      <c r="L76" s="570"/>
      <c r="M76" s="571"/>
      <c r="N76" s="1151"/>
      <c r="O76" s="1151"/>
      <c r="P76" s="2682"/>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49"/>
      <c r="O77" s="1149"/>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81"/>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49"/>
      <c r="O79" s="1149"/>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81"/>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49"/>
      <c r="O81" s="1149"/>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81"/>
      <c r="Q82" s="503"/>
    </row>
    <row r="83" spans="1:17" ht="15.75" thickTop="1">
      <c r="A83" s="533"/>
      <c r="B83" s="545" t="s">
        <v>2687</v>
      </c>
      <c r="C83" s="659" t="s">
        <v>2673</v>
      </c>
      <c r="D83" s="659" t="s">
        <v>2674</v>
      </c>
      <c r="E83" s="659" t="s">
        <v>2675</v>
      </c>
      <c r="F83" s="659" t="s">
        <v>2676</v>
      </c>
      <c r="G83" s="659" t="s">
        <v>2677</v>
      </c>
      <c r="H83" s="538"/>
      <c r="I83" s="538"/>
      <c r="J83" s="538"/>
      <c r="K83" s="538"/>
      <c r="L83" s="538"/>
      <c r="M83" s="1379"/>
      <c r="N83" s="1150"/>
      <c r="O83" s="1150"/>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81"/>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49"/>
      <c r="O85" s="1149"/>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81"/>
      <c r="Q86" s="503"/>
    </row>
    <row r="87" spans="1:17" s="117" customFormat="1" ht="27.75" thickTop="1">
      <c r="A87" s="578"/>
      <c r="B87" s="537" t="s">
        <v>2697</v>
      </c>
      <c r="C87" s="553"/>
      <c r="D87" s="553"/>
      <c r="E87" s="553"/>
      <c r="F87" s="553"/>
      <c r="G87" s="553"/>
      <c r="H87" s="553"/>
      <c r="I87" s="553"/>
      <c r="J87" s="553"/>
      <c r="K87" s="553"/>
      <c r="L87" s="579"/>
      <c r="M87" s="580"/>
      <c r="N87" s="1148"/>
      <c r="O87" s="1148"/>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81"/>
      <c r="Q88" s="503"/>
    </row>
    <row r="89" spans="1:17" s="117" customFormat="1" ht="15.75" thickTop="1">
      <c r="A89" s="578"/>
      <c r="B89" s="537" t="str">
        <f>B27</f>
        <v>楼层</v>
      </c>
      <c r="C89" s="553"/>
      <c r="D89" s="553"/>
      <c r="E89" s="553"/>
      <c r="F89" s="2632"/>
      <c r="G89" s="553"/>
      <c r="H89" s="553"/>
      <c r="I89" s="553"/>
      <c r="J89" s="553"/>
      <c r="K89" s="553"/>
      <c r="L89" s="553"/>
      <c r="M89" s="580"/>
      <c r="N89" s="1148"/>
      <c r="O89" s="1148"/>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81"/>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82"/>
      <c r="Q92" s="558"/>
    </row>
    <row r="93" spans="1:17" ht="15.75" thickTop="1">
      <c r="A93" s="533"/>
      <c r="B93" s="537">
        <f>B29</f>
        <v>111</v>
      </c>
      <c r="C93" s="553"/>
      <c r="D93" s="553"/>
      <c r="E93" s="553"/>
      <c r="F93" s="553"/>
      <c r="G93" s="553"/>
      <c r="H93" s="553"/>
      <c r="I93" s="553"/>
      <c r="J93" s="553"/>
      <c r="K93" s="553"/>
      <c r="L93" s="579"/>
      <c r="M93" s="580"/>
      <c r="N93" s="1149"/>
      <c r="O93" s="1149"/>
      <c r="P93" s="2681"/>
      <c r="Q93" s="503"/>
    </row>
    <row r="94" spans="1:17" ht="15.75" thickBot="1">
      <c r="A94" s="533"/>
      <c r="B94" s="542"/>
      <c r="C94" s="559"/>
      <c r="D94" s="535"/>
      <c r="E94" s="535"/>
      <c r="F94" s="535"/>
      <c r="G94" s="535"/>
      <c r="H94" s="535"/>
      <c r="I94" s="535"/>
      <c r="J94" s="535"/>
      <c r="K94" s="535"/>
      <c r="L94" s="535"/>
      <c r="M94" s="536"/>
      <c r="N94" s="1150"/>
      <c r="O94" s="1150"/>
      <c r="P94" s="2681"/>
      <c r="Q94" s="503"/>
    </row>
    <row r="95" spans="1:17" ht="15.75" thickTop="1">
      <c r="A95" s="533"/>
      <c r="B95" s="537">
        <f>B30</f>
        <v>111</v>
      </c>
      <c r="C95" s="553"/>
      <c r="D95" s="553"/>
      <c r="E95" s="553"/>
      <c r="F95" s="553"/>
      <c r="G95" s="582"/>
      <c r="H95" s="582"/>
      <c r="I95" s="582"/>
      <c r="J95" s="582"/>
      <c r="K95" s="583"/>
      <c r="L95" s="584"/>
      <c r="M95" s="585"/>
      <c r="N95" s="1149"/>
      <c r="O95" s="1149"/>
      <c r="P95" s="2681"/>
      <c r="Q95" s="503"/>
    </row>
    <row r="96" spans="1:17" ht="15.75" thickBot="1">
      <c r="A96" s="533"/>
      <c r="B96" s="542"/>
      <c r="C96" s="559"/>
      <c r="D96" s="559"/>
      <c r="E96" s="559"/>
      <c r="F96" s="559"/>
      <c r="G96" s="535"/>
      <c r="H96" s="535"/>
      <c r="I96" s="535"/>
      <c r="J96" s="535"/>
      <c r="K96" s="535"/>
      <c r="L96" s="535"/>
      <c r="M96" s="536"/>
      <c r="N96" s="1150"/>
      <c r="O96" s="1150"/>
      <c r="P96" s="2681"/>
      <c r="Q96" s="503"/>
    </row>
    <row r="97" spans="1:17" ht="15.75" thickTop="1">
      <c r="A97" s="533"/>
      <c r="B97" s="537">
        <f>B31</f>
        <v>111</v>
      </c>
      <c r="C97" s="553"/>
      <c r="D97" s="553"/>
      <c r="E97" s="553"/>
      <c r="F97" s="553"/>
      <c r="G97" s="582"/>
      <c r="H97" s="582"/>
      <c r="I97" s="582"/>
      <c r="J97" s="582"/>
      <c r="K97" s="583"/>
      <c r="L97" s="584"/>
      <c r="M97" s="585"/>
      <c r="N97" s="1149"/>
      <c r="O97" s="1149"/>
      <c r="P97" s="2681"/>
      <c r="Q97" s="503"/>
    </row>
    <row r="98" spans="1:17" ht="15.75" thickBot="1">
      <c r="A98" s="533"/>
      <c r="B98" s="542"/>
      <c r="C98" s="559"/>
      <c r="D98" s="535"/>
      <c r="E98" s="535"/>
      <c r="F98" s="535"/>
      <c r="G98" s="535"/>
      <c r="H98" s="535"/>
      <c r="I98" s="535"/>
      <c r="J98" s="535"/>
      <c r="K98" s="535"/>
      <c r="L98" s="535"/>
      <c r="M98" s="536"/>
      <c r="N98" s="1150"/>
      <c r="O98" s="1150"/>
      <c r="P98" s="2681"/>
      <c r="Q98" s="503"/>
    </row>
    <row r="99" spans="1:17" ht="15.75" thickTop="1">
      <c r="A99" s="533"/>
      <c r="B99" s="545">
        <f>B32</f>
        <v>111</v>
      </c>
      <c r="C99" s="522"/>
      <c r="D99" s="522"/>
      <c r="E99" s="522"/>
      <c r="F99" s="522"/>
      <c r="G99" s="586"/>
      <c r="H99" s="586"/>
      <c r="I99" s="586"/>
      <c r="J99" s="586"/>
      <c r="K99" s="587"/>
      <c r="L99" s="588"/>
      <c r="M99" s="589"/>
      <c r="N99" s="1149"/>
      <c r="O99" s="1149"/>
      <c r="P99" s="2681"/>
      <c r="Q99" s="503"/>
    </row>
    <row r="100" spans="1:17" ht="15.75" thickBot="1">
      <c r="A100" s="2633"/>
      <c r="B100" s="568"/>
      <c r="C100" s="569"/>
      <c r="D100" s="569"/>
      <c r="E100" s="569"/>
      <c r="F100" s="569"/>
      <c r="G100" s="590"/>
      <c r="H100" s="590"/>
      <c r="I100" s="590"/>
      <c r="J100" s="590"/>
      <c r="K100" s="590"/>
      <c r="L100" s="590"/>
      <c r="M100" s="591"/>
      <c r="N100" s="1150"/>
      <c r="O100" s="1150"/>
      <c r="P100" s="2681"/>
      <c r="Q100" s="503"/>
    </row>
    <row r="101" spans="1:17">
      <c r="A101" s="526" t="s">
        <v>2561</v>
      </c>
      <c r="B101" s="527" t="s">
        <v>2610</v>
      </c>
      <c r="C101" s="529"/>
      <c r="D101" s="529"/>
      <c r="E101" s="529"/>
      <c r="F101" s="529"/>
      <c r="G101" s="529"/>
      <c r="H101" s="529"/>
      <c r="I101" s="529"/>
      <c r="J101" s="529"/>
      <c r="K101" s="530"/>
      <c r="L101" s="531"/>
      <c r="M101" s="532"/>
      <c r="N101" s="1149"/>
      <c r="O101" s="1149"/>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81"/>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81"/>
      <c r="Q103" s="503"/>
    </row>
    <row r="104" spans="1:17" s="470" customFormat="1">
      <c r="A104" s="592"/>
      <c r="B104" s="593"/>
      <c r="C104" s="594"/>
      <c r="D104" s="594"/>
      <c r="E104" s="594"/>
      <c r="F104" s="594"/>
      <c r="G104" s="594"/>
      <c r="H104" s="594"/>
      <c r="I104" s="594"/>
      <c r="J104" s="595"/>
      <c r="K104" s="595"/>
      <c r="L104" s="596"/>
      <c r="M104" s="597"/>
      <c r="N104" s="1151"/>
      <c r="O104" s="1151"/>
      <c r="P104" s="2682"/>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82"/>
      <c r="Q105" s="558"/>
    </row>
    <row r="106" spans="1:17" ht="15" thickTop="1">
      <c r="A106" s="598"/>
      <c r="B106" s="537" t="s">
        <v>2612</v>
      </c>
      <c r="C106" s="553"/>
      <c r="D106" s="553"/>
      <c r="E106" s="582"/>
      <c r="F106" s="582"/>
      <c r="G106" s="582"/>
      <c r="H106" s="582"/>
      <c r="I106" s="582"/>
      <c r="J106" s="582"/>
      <c r="K106" s="583"/>
      <c r="L106" s="584"/>
      <c r="M106" s="585"/>
      <c r="N106" s="1149"/>
      <c r="O106" s="1149"/>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81"/>
      <c r="Q107" s="503"/>
    </row>
    <row r="108" spans="1:17" ht="15" thickTop="1">
      <c r="A108" s="598"/>
      <c r="B108" s="537" t="s">
        <v>2614</v>
      </c>
      <c r="C108" s="553"/>
      <c r="D108" s="553"/>
      <c r="E108" s="553"/>
      <c r="F108" s="582"/>
      <c r="G108" s="582"/>
      <c r="H108" s="582"/>
      <c r="I108" s="582"/>
      <c r="J108" s="582"/>
      <c r="K108" s="583"/>
      <c r="L108" s="584"/>
      <c r="M108" s="585"/>
      <c r="N108" s="1149"/>
      <c r="O108" s="1149"/>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81"/>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81"/>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81"/>
      <c r="Q112" s="503"/>
    </row>
    <row r="113" spans="1:17" s="470" customFormat="1" ht="15" thickTop="1">
      <c r="A113" s="592"/>
      <c r="B113" s="537" t="s">
        <v>2698</v>
      </c>
      <c r="C113" s="553"/>
      <c r="D113" s="553"/>
      <c r="E113" s="553"/>
      <c r="F113" s="553"/>
      <c r="G113" s="553"/>
      <c r="H113" s="582"/>
      <c r="I113" s="582"/>
      <c r="J113" s="582"/>
      <c r="K113" s="583"/>
      <c r="L113" s="584"/>
      <c r="M113" s="585"/>
      <c r="N113" s="1151"/>
      <c r="O113" s="1151"/>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82"/>
      <c r="Q114" s="558"/>
    </row>
    <row r="115" spans="1:17" ht="15" thickTop="1">
      <c r="A115" s="598"/>
      <c r="B115" s="537" t="s">
        <v>2615</v>
      </c>
      <c r="C115" s="553"/>
      <c r="D115" s="553"/>
      <c r="E115" s="582"/>
      <c r="F115" s="582"/>
      <c r="G115" s="582"/>
      <c r="H115" s="582"/>
      <c r="I115" s="582"/>
      <c r="J115" s="582"/>
      <c r="K115" s="583"/>
      <c r="L115" s="584"/>
      <c r="M115" s="585"/>
      <c r="N115" s="1149"/>
      <c r="O115" s="1149"/>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81"/>
      <c r="Q116" s="503"/>
    </row>
    <row r="117" spans="1:17" ht="15" thickTop="1">
      <c r="A117" s="598"/>
      <c r="B117" s="537" t="s">
        <v>2616</v>
      </c>
      <c r="C117" s="553"/>
      <c r="D117" s="553"/>
      <c r="E117" s="553"/>
      <c r="F117" s="553"/>
      <c r="G117" s="553"/>
      <c r="H117" s="582"/>
      <c r="I117" s="582"/>
      <c r="J117" s="582"/>
      <c r="K117" s="583"/>
      <c r="L117" s="584"/>
      <c r="M117" s="585"/>
      <c r="N117" s="1149"/>
      <c r="O117" s="1149"/>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81"/>
      <c r="Q118" s="503"/>
    </row>
    <row r="119" spans="1:17" ht="15" thickTop="1">
      <c r="A119" s="598"/>
      <c r="B119" s="635" t="s">
        <v>2699</v>
      </c>
      <c r="C119" s="582"/>
      <c r="D119" s="582"/>
      <c r="E119" s="582"/>
      <c r="F119" s="582"/>
      <c r="G119" s="582"/>
      <c r="H119" s="582"/>
      <c r="I119" s="582"/>
      <c r="J119" s="582"/>
      <c r="K119" s="582"/>
      <c r="L119" s="2686"/>
      <c r="M119" s="2687"/>
      <c r="N119" s="1150"/>
      <c r="O119" s="1150"/>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81"/>
      <c r="Q120" s="503"/>
    </row>
    <row r="121" spans="1:17" s="470" customFormat="1" ht="15" thickTop="1">
      <c r="A121" s="592"/>
      <c r="B121" s="537" t="s">
        <v>2682</v>
      </c>
      <c r="C121" s="553"/>
      <c r="D121" s="553"/>
      <c r="E121" s="553"/>
      <c r="F121" s="582"/>
      <c r="G121" s="554"/>
      <c r="H121" s="554"/>
      <c r="I121" s="554"/>
      <c r="J121" s="554"/>
      <c r="K121" s="554"/>
      <c r="L121" s="555"/>
      <c r="M121" s="556"/>
      <c r="N121" s="1151"/>
      <c r="O121" s="1151"/>
      <c r="P121" s="2682"/>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82"/>
      <c r="Q122" s="558"/>
    </row>
    <row r="123" spans="1:17" ht="15" thickTop="1">
      <c r="A123" s="598"/>
      <c r="B123" s="537" t="s">
        <v>2618</v>
      </c>
      <c r="C123" s="553"/>
      <c r="D123" s="553"/>
      <c r="E123" s="553"/>
      <c r="F123" s="582"/>
      <c r="G123" s="582"/>
      <c r="H123" s="582"/>
      <c r="I123" s="582"/>
      <c r="J123" s="582"/>
      <c r="K123" s="583"/>
      <c r="L123" s="584"/>
      <c r="M123" s="585"/>
      <c r="N123" s="1149"/>
      <c r="O123" s="1149"/>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81"/>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49"/>
      <c r="O125" s="1149"/>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81"/>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82"/>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82"/>
      <c r="Q128" s="558"/>
    </row>
    <row r="129" spans="1:17" ht="15" thickTop="1">
      <c r="A129" s="598"/>
      <c r="B129" s="537">
        <f>B46</f>
        <v>111</v>
      </c>
      <c r="C129" s="553"/>
      <c r="D129" s="553"/>
      <c r="E129" s="553"/>
      <c r="F129" s="553"/>
      <c r="G129" s="582"/>
      <c r="H129" s="582"/>
      <c r="I129" s="582"/>
      <c r="J129" s="582"/>
      <c r="K129" s="583"/>
      <c r="L129" s="584"/>
      <c r="M129" s="585"/>
      <c r="N129" s="1149"/>
      <c r="O129" s="1149"/>
      <c r="P129" s="2681"/>
      <c r="Q129" s="503"/>
    </row>
    <row r="130" spans="1:17" ht="15.75" thickBot="1">
      <c r="A130" s="533"/>
      <c r="B130" s="542"/>
      <c r="C130" s="559"/>
      <c r="D130" s="559"/>
      <c r="E130" s="559"/>
      <c r="F130" s="559"/>
      <c r="G130" s="535"/>
      <c r="H130" s="535"/>
      <c r="I130" s="535"/>
      <c r="J130" s="535"/>
      <c r="K130" s="535"/>
      <c r="L130" s="535"/>
      <c r="M130" s="536"/>
      <c r="N130" s="1150"/>
      <c r="O130" s="1150"/>
      <c r="P130" s="2681"/>
      <c r="Q130" s="503"/>
    </row>
    <row r="131" spans="1:17" ht="15" thickTop="1">
      <c r="A131" s="598"/>
      <c r="B131" s="545">
        <f>B47</f>
        <v>111</v>
      </c>
      <c r="C131" s="522"/>
      <c r="D131" s="522"/>
      <c r="E131" s="522"/>
      <c r="F131" s="522"/>
      <c r="G131" s="586"/>
      <c r="H131" s="586"/>
      <c r="I131" s="586"/>
      <c r="J131" s="586"/>
      <c r="K131" s="522"/>
      <c r="L131" s="523"/>
      <c r="M131" s="589"/>
      <c r="N131" s="1149"/>
      <c r="O131" s="1149"/>
      <c r="P131" s="2681"/>
      <c r="Q131" s="503"/>
    </row>
    <row r="132" spans="1:17" ht="15.75" thickBot="1">
      <c r="A132" s="2633"/>
      <c r="B132" s="568"/>
      <c r="C132" s="569"/>
      <c r="D132" s="569"/>
      <c r="E132" s="569"/>
      <c r="F132" s="569"/>
      <c r="G132" s="590"/>
      <c r="H132" s="590"/>
      <c r="I132" s="590"/>
      <c r="J132" s="590"/>
      <c r="K132" s="590"/>
      <c r="L132" s="590"/>
      <c r="M132" s="591"/>
      <c r="N132" s="1150"/>
      <c r="O132" s="1150"/>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6" t="s">
        <v>2700</v>
      </c>
      <c r="C1" s="1617" t="s">
        <v>2528</v>
      </c>
      <c r="D1" s="1618"/>
      <c r="E1" s="1627"/>
      <c r="F1" s="2581"/>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83"/>
      <c r="D2" s="1121" t="e">
        <f ca="1">SUMIF(INDIRECT("'"&amp;F2&amp;"'"&amp;"!A:A"),"承租人权益价值",INDIRECT("'"&amp;F2&amp;"'"&amp;"!c:c"))</f>
        <v>#REF!</v>
      </c>
      <c r="E2" s="2584" t="s">
        <v>2326</v>
      </c>
      <c r="F2" s="2585"/>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7" customFormat="1" ht="28.5" customHeight="1" thickBot="1">
      <c r="A3" s="246" t="s">
        <v>2327</v>
      </c>
      <c r="B3" s="608" t="e">
        <f ca="1">IF(C2="——",C43,ROUND(B2*10000/D3,0))</f>
        <v>#DIV/0!</v>
      </c>
      <c r="C3" s="399" t="s">
        <v>2642</v>
      </c>
      <c r="D3" s="398">
        <f>IF(D1="",'数据-汇总表'!E3,SUMIF('数据-汇总表'!$C19:$C33,D1,'数据-汇总表'!$E19:$E33))</f>
        <v>48967.92</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8" t="s">
        <v>2646</v>
      </c>
      <c r="AC4" s="3177" t="s">
        <v>2647</v>
      </c>
    </row>
    <row r="5" spans="1:29" ht="15">
      <c r="A5" s="403"/>
      <c r="B5" s="404"/>
      <c r="C5" s="3197" t="s">
        <v>2540</v>
      </c>
      <c r="D5" s="3198"/>
      <c r="E5" s="3204" t="s">
        <v>2541</v>
      </c>
      <c r="F5" s="3205"/>
      <c r="G5" s="3197" t="s">
        <v>2542</v>
      </c>
      <c r="H5" s="3198"/>
      <c r="I5" s="3197" t="s">
        <v>2543</v>
      </c>
      <c r="J5" s="3198"/>
      <c r="K5" s="609"/>
      <c r="L5" s="1127"/>
      <c r="M5" s="1128"/>
      <c r="N5" s="1128"/>
      <c r="O5" s="1128"/>
      <c r="P5" s="3185"/>
      <c r="Q5" s="3186"/>
      <c r="R5" s="3191"/>
      <c r="S5" s="3192"/>
      <c r="T5" s="3191"/>
      <c r="U5" s="3192"/>
      <c r="V5" s="3176"/>
      <c r="W5" s="3176"/>
      <c r="X5" s="1810"/>
      <c r="Y5" s="3191"/>
      <c r="Z5" s="3192"/>
      <c r="AA5" s="3178"/>
      <c r="AB5" s="3178"/>
      <c r="AC5" s="3178"/>
    </row>
    <row r="6" spans="1:29" ht="15.75" thickBot="1">
      <c r="A6" s="405"/>
      <c r="B6" s="406"/>
      <c r="C6" s="3195" t="s">
        <v>2544</v>
      </c>
      <c r="D6" s="3196"/>
      <c r="E6" s="3202" t="s">
        <v>2544</v>
      </c>
      <c r="F6" s="3203"/>
      <c r="G6" s="3195" t="s">
        <v>2544</v>
      </c>
      <c r="H6" s="3196"/>
      <c r="I6" s="3195" t="s">
        <v>2544</v>
      </c>
      <c r="J6" s="3196"/>
      <c r="K6" s="609" t="s">
        <v>2545</v>
      </c>
      <c r="L6" s="1127"/>
      <c r="M6" s="1128"/>
      <c r="N6" s="1128"/>
      <c r="O6" s="1128"/>
      <c r="P6" s="3187"/>
      <c r="Q6" s="3188"/>
      <c r="R6" s="3191"/>
      <c r="S6" s="3192"/>
      <c r="T6" s="3193"/>
      <c r="U6" s="3194"/>
      <c r="V6" s="3176"/>
      <c r="W6" s="3176"/>
      <c r="X6" s="1810"/>
      <c r="Y6" s="3193"/>
      <c r="Z6" s="3194"/>
      <c r="AA6" s="3179"/>
      <c r="AB6" s="3179"/>
      <c r="AC6" s="3179"/>
    </row>
    <row r="7" spans="1:29" s="117" customFormat="1" ht="15.75" thickBot="1">
      <c r="A7" s="407" t="s">
        <v>2546</v>
      </c>
      <c r="B7" s="408"/>
      <c r="C7" s="409">
        <f>'数据-取费表'!B2</f>
        <v>43615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199" t="s">
        <v>2547</v>
      </c>
      <c r="Q7" s="3201"/>
      <c r="R7" s="768" t="s">
        <v>17</v>
      </c>
      <c r="S7" s="769">
        <f t="shared" ref="S7:S15" si="0">F7</f>
        <v>0</v>
      </c>
      <c r="T7" s="768" t="s">
        <v>17</v>
      </c>
      <c r="U7" s="769">
        <f t="shared" ref="U7:U15" si="1">H7</f>
        <v>0</v>
      </c>
      <c r="V7" s="768" t="s">
        <v>17</v>
      </c>
      <c r="W7" s="769">
        <f t="shared" ref="W7:W15" si="2">J7</f>
        <v>0</v>
      </c>
      <c r="X7" s="770"/>
      <c r="Y7" s="3199" t="s">
        <v>2547</v>
      </c>
      <c r="Z7" s="3200"/>
      <c r="AA7" s="771" t="e">
        <f>D7/F7</f>
        <v>#DIV/0!</v>
      </c>
      <c r="AB7" s="771" t="e">
        <f>D7/H7</f>
        <v>#DIV/0!</v>
      </c>
      <c r="AC7" s="771" t="e">
        <f>D7/J7</f>
        <v>#DIV/0!</v>
      </c>
    </row>
    <row r="8" spans="1:29" s="117"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199" t="s">
        <v>2550</v>
      </c>
      <c r="Q8" s="3200"/>
      <c r="R8" s="768" t="s">
        <v>17</v>
      </c>
      <c r="S8" s="769">
        <f t="shared" si="0"/>
        <v>0</v>
      </c>
      <c r="T8" s="768" t="s">
        <v>17</v>
      </c>
      <c r="U8" s="769">
        <f t="shared" si="1"/>
        <v>0</v>
      </c>
      <c r="V8" s="768" t="s">
        <v>17</v>
      </c>
      <c r="W8" s="769">
        <f t="shared" si="2"/>
        <v>0</v>
      </c>
      <c r="X8" s="770"/>
      <c r="Y8" s="3199" t="s">
        <v>2550</v>
      </c>
      <c r="Z8" s="3200"/>
      <c r="AA8" s="771" t="e">
        <f t="shared" ref="AA8:AA40" si="3">D8/F8</f>
        <v>#DIV/0!</v>
      </c>
      <c r="AB8" s="771" t="e">
        <f t="shared" ref="AB8:AB40" si="4">D8/H8</f>
        <v>#DIV/0!</v>
      </c>
      <c r="AC8" s="771" t="e">
        <f t="shared" ref="AC8:AC40" si="5">D8/J8</f>
        <v>#DIV/0!</v>
      </c>
    </row>
    <row r="9" spans="1:29" s="117"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170"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771">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170"/>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170"/>
      <c r="Q11" s="1792"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29"/>
      <c r="M12" s="1130"/>
      <c r="N12" s="1130"/>
      <c r="O12" s="1131"/>
      <c r="P12" s="3170"/>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7"/>
      <c r="M13" s="1128"/>
      <c r="N13" s="1128"/>
      <c r="O13" s="1136"/>
      <c r="P13" s="3170"/>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7"/>
      <c r="M14" s="1128"/>
      <c r="N14" s="1128"/>
      <c r="O14" s="1136"/>
      <c r="P14" s="3170"/>
      <c r="Q14" s="1792">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57">
      <c r="A15" s="439" t="s">
        <v>2557</v>
      </c>
      <c r="B15" s="69" t="s">
        <v>2701</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172" t="s">
        <v>2558</v>
      </c>
      <c r="Q15" s="1807" t="str">
        <f t="shared" si="6"/>
        <v>产业集聚程度</v>
      </c>
      <c r="R15" s="772" t="s">
        <v>17</v>
      </c>
      <c r="S15" s="773">
        <f t="shared" si="0"/>
        <v>100</v>
      </c>
      <c r="T15" s="772" t="s">
        <v>17</v>
      </c>
      <c r="U15" s="773">
        <f t="shared" si="1"/>
        <v>100</v>
      </c>
      <c r="V15" s="772" t="s">
        <v>17</v>
      </c>
      <c r="W15" s="773">
        <f t="shared" si="2"/>
        <v>100</v>
      </c>
      <c r="X15" s="1810"/>
      <c r="Y15" s="3172" t="s">
        <v>2558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173"/>
      <c r="Q16" s="1807"/>
      <c r="R16" s="772"/>
      <c r="S16" s="773"/>
      <c r="T16" s="772"/>
      <c r="U16" s="773"/>
      <c r="V16" s="772"/>
      <c r="W16" s="773"/>
      <c r="X16" s="1810"/>
      <c r="Y16" s="3173"/>
      <c r="Z16" s="1811"/>
      <c r="AA16" s="1808">
        <v>1</v>
      </c>
      <c r="AB16" s="1808">
        <v>1</v>
      </c>
      <c r="AC16" s="1808">
        <v>1</v>
      </c>
    </row>
    <row r="17" spans="1:29" ht="85.5">
      <c r="A17" s="427"/>
      <c r="B17" s="450" t="s">
        <v>2094</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173"/>
      <c r="Q17" s="1807" t="str">
        <f>B17</f>
        <v>交通便捷度</v>
      </c>
      <c r="R17" s="772" t="s">
        <v>17</v>
      </c>
      <c r="S17" s="773">
        <f>F17</f>
        <v>100</v>
      </c>
      <c r="T17" s="772" t="s">
        <v>17</v>
      </c>
      <c r="U17" s="773">
        <f>H17</f>
        <v>100</v>
      </c>
      <c r="V17" s="772" t="s">
        <v>17</v>
      </c>
      <c r="W17" s="773">
        <f>J17</f>
        <v>100</v>
      </c>
      <c r="X17" s="1810"/>
      <c r="Y17" s="3173"/>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7"/>
      <c r="M18" s="1128"/>
      <c r="N18" s="1128"/>
      <c r="O18" s="1136"/>
      <c r="P18" s="3173"/>
      <c r="Q18" s="1807"/>
      <c r="R18" s="772"/>
      <c r="S18" s="773"/>
      <c r="T18" s="772"/>
      <c r="U18" s="773"/>
      <c r="V18" s="772"/>
      <c r="W18" s="773"/>
      <c r="X18" s="1810"/>
      <c r="Y18" s="3173"/>
      <c r="Z18" s="1811"/>
      <c r="AA18" s="1808">
        <v>1</v>
      </c>
      <c r="AB18" s="1808">
        <v>1</v>
      </c>
      <c r="AC18" s="1808">
        <v>1</v>
      </c>
    </row>
    <row r="19" spans="1:29" ht="42.75">
      <c r="A19" s="427"/>
      <c r="B19" s="450" t="s">
        <v>2686</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173"/>
      <c r="Q19" s="1807" t="str">
        <f>B19</f>
        <v>公共配套设施</v>
      </c>
      <c r="R19" s="772" t="s">
        <v>17</v>
      </c>
      <c r="S19" s="773">
        <f>F19</f>
        <v>100</v>
      </c>
      <c r="T19" s="772" t="s">
        <v>17</v>
      </c>
      <c r="U19" s="773">
        <f>H19</f>
        <v>100</v>
      </c>
      <c r="V19" s="772" t="s">
        <v>17</v>
      </c>
      <c r="W19" s="773">
        <f>J19</f>
        <v>100</v>
      </c>
      <c r="X19" s="1810"/>
      <c r="Y19" s="3173"/>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7"/>
      <c r="M20" s="1128"/>
      <c r="N20" s="1128"/>
      <c r="O20" s="1136"/>
      <c r="P20" s="3173"/>
      <c r="Q20" s="1807"/>
      <c r="R20" s="772"/>
      <c r="S20" s="773"/>
      <c r="T20" s="772"/>
      <c r="U20" s="773"/>
      <c r="V20" s="772"/>
      <c r="W20" s="773"/>
      <c r="X20" s="1810"/>
      <c r="Y20" s="3173"/>
      <c r="Z20" s="1811"/>
      <c r="AA20" s="1808">
        <v>1</v>
      </c>
      <c r="AB20" s="1808">
        <v>1</v>
      </c>
      <c r="AC20" s="1808">
        <v>1</v>
      </c>
    </row>
    <row r="21" spans="1:29" ht="28.5">
      <c r="A21" s="427"/>
      <c r="B21" s="1381" t="s">
        <v>2687</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173"/>
      <c r="Q21" s="1807" t="str">
        <f>B21</f>
        <v>基础设施水平</v>
      </c>
      <c r="R21" s="772" t="s">
        <v>17</v>
      </c>
      <c r="S21" s="773">
        <f>F21</f>
        <v>100</v>
      </c>
      <c r="T21" s="772" t="s">
        <v>17</v>
      </c>
      <c r="U21" s="773">
        <f>H21</f>
        <v>100</v>
      </c>
      <c r="V21" s="772" t="s">
        <v>17</v>
      </c>
      <c r="W21" s="773">
        <f>J21</f>
        <v>100</v>
      </c>
      <c r="X21" s="1810"/>
      <c r="Y21" s="3173"/>
      <c r="Z21" s="1811" t="str">
        <f>Q21</f>
        <v>基础设施水平</v>
      </c>
      <c r="AA21" s="1808">
        <f t="shared" ref="AA21" si="8">D21/F21</f>
        <v>1</v>
      </c>
      <c r="AB21" s="1808">
        <f t="shared" ref="AB21" si="9">D21/H21</f>
        <v>1</v>
      </c>
      <c r="AC21" s="1808">
        <f t="shared" ref="AC21" si="10">D21/J21</f>
        <v>1</v>
      </c>
    </row>
    <row r="22" spans="1:29" ht="15">
      <c r="A22" s="427"/>
      <c r="B22" s="1381"/>
      <c r="C22" s="2605"/>
      <c r="D22" s="447"/>
      <c r="E22" s="446"/>
      <c r="F22" s="448"/>
      <c r="G22" s="446"/>
      <c r="H22" s="447"/>
      <c r="I22" s="446"/>
      <c r="J22" s="447"/>
      <c r="K22" s="1380"/>
      <c r="L22" s="1137"/>
      <c r="M22" s="1128"/>
      <c r="N22" s="1128"/>
      <c r="O22" s="1136"/>
      <c r="P22" s="3173"/>
      <c r="Q22" s="1807"/>
      <c r="R22" s="772"/>
      <c r="S22" s="773"/>
      <c r="T22" s="772"/>
      <c r="U22" s="773"/>
      <c r="V22" s="772"/>
      <c r="W22" s="773"/>
      <c r="X22" s="1810"/>
      <c r="Y22" s="3173"/>
      <c r="Z22" s="1811"/>
      <c r="AA22" s="1808">
        <v>1</v>
      </c>
      <c r="AB22" s="1808">
        <v>1</v>
      </c>
      <c r="AC22" s="1808">
        <v>1</v>
      </c>
    </row>
    <row r="23" spans="1:29" ht="71.25">
      <c r="A23" s="427"/>
      <c r="B23" s="450" t="s">
        <v>2688</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173"/>
      <c r="Q23" s="1807" t="str">
        <f>B23</f>
        <v>环境质量</v>
      </c>
      <c r="R23" s="772" t="s">
        <v>17</v>
      </c>
      <c r="S23" s="773">
        <f>F23</f>
        <v>100</v>
      </c>
      <c r="T23" s="772" t="s">
        <v>17</v>
      </c>
      <c r="U23" s="773">
        <f>H23</f>
        <v>100</v>
      </c>
      <c r="V23" s="772" t="s">
        <v>17</v>
      </c>
      <c r="W23" s="773">
        <f>J23</f>
        <v>100</v>
      </c>
      <c r="X23" s="1810"/>
      <c r="Y23" s="3173"/>
      <c r="Z23" s="1811" t="str">
        <f>Q23</f>
        <v>环境质量</v>
      </c>
      <c r="AA23" s="1808">
        <f t="shared" si="3"/>
        <v>1</v>
      </c>
      <c r="AB23" s="1808">
        <f t="shared" si="4"/>
        <v>1</v>
      </c>
      <c r="AC23" s="1808">
        <f t="shared" si="5"/>
        <v>1</v>
      </c>
    </row>
    <row r="24" spans="1:29" ht="15">
      <c r="A24" s="427"/>
      <c r="B24" s="1381"/>
      <c r="C24" s="446"/>
      <c r="D24" s="447"/>
      <c r="E24" s="2602"/>
      <c r="F24" s="448"/>
      <c r="G24" s="2601"/>
      <c r="H24" s="447"/>
      <c r="I24" s="2602"/>
      <c r="J24" s="447"/>
      <c r="K24" s="614"/>
      <c r="L24" s="1137"/>
      <c r="M24" s="1128"/>
      <c r="N24" s="1128"/>
      <c r="O24" s="1136"/>
      <c r="P24" s="3173"/>
      <c r="Q24" s="1807"/>
      <c r="R24" s="772"/>
      <c r="S24" s="773"/>
      <c r="T24" s="772"/>
      <c r="U24" s="773"/>
      <c r="V24" s="772"/>
      <c r="W24" s="773"/>
      <c r="X24" s="1810"/>
      <c r="Y24" s="3173"/>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173"/>
      <c r="Q25" s="1807">
        <f>B25</f>
        <v>111</v>
      </c>
      <c r="R25" s="772" t="s">
        <v>17</v>
      </c>
      <c r="S25" s="773">
        <f>F25</f>
        <v>100</v>
      </c>
      <c r="T25" s="772" t="s">
        <v>17</v>
      </c>
      <c r="U25" s="773">
        <f>H25</f>
        <v>100</v>
      </c>
      <c r="V25" s="772" t="s">
        <v>17</v>
      </c>
      <c r="W25" s="773">
        <f>J25</f>
        <v>100</v>
      </c>
      <c r="X25" s="1810"/>
      <c r="Y25" s="3173"/>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173"/>
      <c r="Q26" s="1807">
        <f t="shared" ref="Q26:Q40" si="11">B26</f>
        <v>111</v>
      </c>
      <c r="R26" s="772" t="s">
        <v>17</v>
      </c>
      <c r="S26" s="773">
        <f>F26</f>
        <v>100</v>
      </c>
      <c r="T26" s="772" t="s">
        <v>17</v>
      </c>
      <c r="U26" s="773">
        <f>H26</f>
        <v>100</v>
      </c>
      <c r="V26" s="772" t="s">
        <v>17</v>
      </c>
      <c r="W26" s="773">
        <f>J26</f>
        <v>100</v>
      </c>
      <c r="X26" s="1810"/>
      <c r="Y26" s="3173"/>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173"/>
      <c r="Q27" s="1792">
        <f t="shared" si="11"/>
        <v>111</v>
      </c>
      <c r="R27" s="768" t="s">
        <v>17</v>
      </c>
      <c r="S27" s="769">
        <f>F27</f>
        <v>100</v>
      </c>
      <c r="T27" s="768" t="s">
        <v>17</v>
      </c>
      <c r="U27" s="769">
        <f>H27</f>
        <v>100</v>
      </c>
      <c r="V27" s="768" t="s">
        <v>17</v>
      </c>
      <c r="W27" s="769">
        <f>J27</f>
        <v>100</v>
      </c>
      <c r="X27" s="770"/>
      <c r="Y27" s="3173"/>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173"/>
      <c r="Q28" s="1807">
        <f t="shared" si="11"/>
        <v>111</v>
      </c>
      <c r="R28" s="772" t="s">
        <v>17</v>
      </c>
      <c r="S28" s="773">
        <f t="shared" ref="S28:S40" si="12">F28</f>
        <v>100</v>
      </c>
      <c r="T28" s="772" t="s">
        <v>17</v>
      </c>
      <c r="U28" s="773">
        <f t="shared" ref="U28:U40" si="13">H28</f>
        <v>100</v>
      </c>
      <c r="V28" s="772" t="s">
        <v>17</v>
      </c>
      <c r="W28" s="773">
        <f t="shared" ref="W28:W40" si="14">J28</f>
        <v>100</v>
      </c>
      <c r="X28" s="1810"/>
      <c r="Y28" s="3173"/>
      <c r="Z28" s="1811">
        <f t="shared" ref="Z28:Z40" si="15">Q28</f>
        <v>111</v>
      </c>
      <c r="AA28" s="1808">
        <f t="shared" si="3"/>
        <v>1</v>
      </c>
      <c r="AB28" s="1808">
        <f t="shared" si="4"/>
        <v>1</v>
      </c>
      <c r="AC28" s="1808">
        <f t="shared" si="5"/>
        <v>1</v>
      </c>
    </row>
    <row r="29" spans="1:29" ht="28.5">
      <c r="A29" s="465" t="s">
        <v>2561</v>
      </c>
      <c r="B29" s="71" t="s">
        <v>2691</v>
      </c>
      <c r="C29" s="2676"/>
      <c r="D29" s="466">
        <v>100</v>
      </c>
      <c r="E29" s="2676"/>
      <c r="F29" s="460">
        <f>SUMIF(88:88,E29,89:89)-SUMIF(88:88,C29,89:89)+100</f>
        <v>100</v>
      </c>
      <c r="G29" s="2676"/>
      <c r="H29" s="434">
        <f>SUMIF(88:88,G29,89:89)-SUMIF(88:88,C29,89:89)+100</f>
        <v>100</v>
      </c>
      <c r="I29" s="2676"/>
      <c r="J29" s="466">
        <f>SUMIF(88:88,I29,89:89)-SUMIF(88:88,C29,89:89)+100</f>
        <v>100</v>
      </c>
      <c r="K29" s="611"/>
      <c r="L29" s="1137"/>
      <c r="M29" s="1128"/>
      <c r="N29" s="1128"/>
      <c r="O29" s="1136"/>
      <c r="P29" s="3174" t="s">
        <v>2563</v>
      </c>
      <c r="Q29" s="1807" t="str">
        <f t="shared" si="11"/>
        <v>建筑类型</v>
      </c>
      <c r="R29" s="772" t="s">
        <v>17</v>
      </c>
      <c r="S29" s="773">
        <f t="shared" si="12"/>
        <v>100</v>
      </c>
      <c r="T29" s="772" t="s">
        <v>17</v>
      </c>
      <c r="U29" s="773">
        <f t="shared" si="13"/>
        <v>100</v>
      </c>
      <c r="V29" s="772" t="s">
        <v>17</v>
      </c>
      <c r="W29" s="773">
        <f t="shared" si="14"/>
        <v>100</v>
      </c>
      <c r="X29" s="1810"/>
      <c r="Y29" s="3175" t="s">
        <v>2563</v>
      </c>
      <c r="Z29" s="1811" t="str">
        <f t="shared" si="15"/>
        <v>建筑类型</v>
      </c>
      <c r="AA29" s="1808">
        <f t="shared" si="3"/>
        <v>1</v>
      </c>
      <c r="AB29" s="1808">
        <f t="shared" si="4"/>
        <v>1</v>
      </c>
      <c r="AC29" s="1808">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175"/>
      <c r="Q30" s="774" t="str">
        <f t="shared" si="11"/>
        <v>项目建筑规模</v>
      </c>
      <c r="R30" s="775" t="s">
        <v>17</v>
      </c>
      <c r="S30" s="776" t="e">
        <f t="shared" si="12"/>
        <v>#N/A</v>
      </c>
      <c r="T30" s="775" t="s">
        <v>17</v>
      </c>
      <c r="U30" s="776" t="e">
        <f t="shared" si="13"/>
        <v>#N/A</v>
      </c>
      <c r="V30" s="775" t="s">
        <v>17</v>
      </c>
      <c r="W30" s="776" t="e">
        <f t="shared" si="14"/>
        <v>#N/A</v>
      </c>
      <c r="X30" s="777"/>
      <c r="Y30" s="3175"/>
      <c r="Z30" s="778" t="str">
        <f t="shared" si="15"/>
        <v>项目建筑规模</v>
      </c>
      <c r="AA30" s="1808" t="e">
        <f t="shared" si="3"/>
        <v>#N/A</v>
      </c>
      <c r="AB30" s="1808" t="e">
        <f t="shared" si="4"/>
        <v>#N/A</v>
      </c>
      <c r="AC30" s="1808"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175"/>
      <c r="Q31" s="1807" t="str">
        <f t="shared" si="11"/>
        <v>建筑结构</v>
      </c>
      <c r="R31" s="772" t="s">
        <v>17</v>
      </c>
      <c r="S31" s="773">
        <f t="shared" si="12"/>
        <v>100</v>
      </c>
      <c r="T31" s="772" t="s">
        <v>17</v>
      </c>
      <c r="U31" s="773">
        <f t="shared" si="13"/>
        <v>100</v>
      </c>
      <c r="V31" s="772" t="s">
        <v>17</v>
      </c>
      <c r="W31" s="773">
        <f t="shared" si="14"/>
        <v>100</v>
      </c>
      <c r="X31" s="1810"/>
      <c r="Y31" s="3175"/>
      <c r="Z31" s="1811" t="str">
        <f t="shared" si="15"/>
        <v>建筑结构</v>
      </c>
      <c r="AA31" s="1808">
        <f t="shared" si="3"/>
        <v>1</v>
      </c>
      <c r="AB31" s="1808">
        <f t="shared" si="4"/>
        <v>1</v>
      </c>
      <c r="AC31" s="1808">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175"/>
      <c r="Q32" s="1807" t="str">
        <f t="shared" si="11"/>
        <v>公共部分装修</v>
      </c>
      <c r="R32" s="772" t="s">
        <v>17</v>
      </c>
      <c r="S32" s="773">
        <f t="shared" si="12"/>
        <v>100</v>
      </c>
      <c r="T32" s="772" t="s">
        <v>17</v>
      </c>
      <c r="U32" s="773">
        <f t="shared" si="13"/>
        <v>100</v>
      </c>
      <c r="V32" s="772" t="s">
        <v>17</v>
      </c>
      <c r="W32" s="773">
        <f t="shared" si="14"/>
        <v>100</v>
      </c>
      <c r="X32" s="1810"/>
      <c r="Y32" s="3175"/>
      <c r="Z32" s="1811" t="str">
        <f t="shared" si="15"/>
        <v>公共部分装修</v>
      </c>
      <c r="AA32" s="1808">
        <f t="shared" si="3"/>
        <v>1</v>
      </c>
      <c r="AB32" s="1808">
        <f t="shared" si="4"/>
        <v>1</v>
      </c>
      <c r="AC32" s="1808">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175"/>
      <c r="Q33" s="1807" t="str">
        <f t="shared" si="11"/>
        <v>成新度</v>
      </c>
      <c r="R33" s="772" t="s">
        <v>17</v>
      </c>
      <c r="S33" s="773" t="e">
        <f t="shared" si="12"/>
        <v>#N/A</v>
      </c>
      <c r="T33" s="772" t="s">
        <v>17</v>
      </c>
      <c r="U33" s="773" t="e">
        <f t="shared" si="13"/>
        <v>#N/A</v>
      </c>
      <c r="V33" s="772" t="s">
        <v>17</v>
      </c>
      <c r="W33" s="773" t="e">
        <f t="shared" si="14"/>
        <v>#N/A</v>
      </c>
      <c r="X33" s="1810"/>
      <c r="Y33" s="3175"/>
      <c r="Z33" s="1811" t="str">
        <f t="shared" si="15"/>
        <v>成新度</v>
      </c>
      <c r="AA33" s="1808" t="e">
        <f t="shared" si="3"/>
        <v>#N/A</v>
      </c>
      <c r="AB33" s="1808" t="e">
        <f t="shared" si="4"/>
        <v>#N/A</v>
      </c>
      <c r="AC33" s="1808" t="e">
        <f t="shared" si="5"/>
        <v>#N/A</v>
      </c>
    </row>
    <row r="34" spans="1:29" s="117"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175"/>
      <c r="Q34" s="1792" t="str">
        <f t="shared" si="11"/>
        <v>物业管理</v>
      </c>
      <c r="R34" s="768" t="s">
        <v>17</v>
      </c>
      <c r="S34" s="769">
        <f t="shared" si="12"/>
        <v>100</v>
      </c>
      <c r="T34" s="768" t="s">
        <v>17</v>
      </c>
      <c r="U34" s="769">
        <f t="shared" si="13"/>
        <v>100</v>
      </c>
      <c r="V34" s="768" t="s">
        <v>17</v>
      </c>
      <c r="W34" s="769">
        <f t="shared" si="14"/>
        <v>100</v>
      </c>
      <c r="X34" s="770"/>
      <c r="Y34" s="3175"/>
      <c r="Z34" s="55" t="str">
        <f t="shared" si="15"/>
        <v>物业管理</v>
      </c>
      <c r="AA34" s="771">
        <f t="shared" si="3"/>
        <v>1</v>
      </c>
      <c r="AB34" s="771">
        <f t="shared" si="4"/>
        <v>1</v>
      </c>
      <c r="AC34" s="771">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175" t="s">
        <v>2563</v>
      </c>
      <c r="Q35" s="1807" t="str">
        <f t="shared" si="11"/>
        <v>市政基础设施</v>
      </c>
      <c r="R35" s="772" t="s">
        <v>17</v>
      </c>
      <c r="S35" s="773">
        <f t="shared" si="12"/>
        <v>100</v>
      </c>
      <c r="T35" s="772" t="s">
        <v>17</v>
      </c>
      <c r="U35" s="773">
        <f t="shared" si="13"/>
        <v>100</v>
      </c>
      <c r="V35" s="772" t="s">
        <v>17</v>
      </c>
      <c r="W35" s="773">
        <f t="shared" si="14"/>
        <v>100</v>
      </c>
      <c r="X35" s="1810"/>
      <c r="Y35" s="3175" t="s">
        <v>2563</v>
      </c>
      <c r="Z35" s="1811" t="str">
        <f t="shared" si="15"/>
        <v>市政基础设施</v>
      </c>
      <c r="AA35" s="1808">
        <f t="shared" si="3"/>
        <v>1</v>
      </c>
      <c r="AB35" s="1808">
        <f t="shared" si="4"/>
        <v>1</v>
      </c>
      <c r="AC35" s="1808">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175"/>
      <c r="Q36" s="1807" t="str">
        <f t="shared" si="11"/>
        <v>内部装修</v>
      </c>
      <c r="R36" s="772" t="s">
        <v>17</v>
      </c>
      <c r="S36" s="773">
        <f t="shared" si="12"/>
        <v>100</v>
      </c>
      <c r="T36" s="772" t="s">
        <v>17</v>
      </c>
      <c r="U36" s="773">
        <f t="shared" si="13"/>
        <v>100</v>
      </c>
      <c r="V36" s="772" t="s">
        <v>17</v>
      </c>
      <c r="W36" s="773">
        <f t="shared" si="14"/>
        <v>100</v>
      </c>
      <c r="X36" s="1810"/>
      <c r="Y36" s="3175"/>
      <c r="Z36" s="1811" t="str">
        <f t="shared" si="15"/>
        <v>内部装修</v>
      </c>
      <c r="AA36" s="1808">
        <f t="shared" si="3"/>
        <v>1</v>
      </c>
      <c r="AB36" s="1808">
        <f t="shared" si="4"/>
        <v>1</v>
      </c>
      <c r="AC36" s="1808">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175"/>
      <c r="Q37" s="1807" t="str">
        <f t="shared" si="11"/>
        <v>内部装修状况</v>
      </c>
      <c r="R37" s="772" t="s">
        <v>17</v>
      </c>
      <c r="S37" s="773">
        <f t="shared" si="12"/>
        <v>100</v>
      </c>
      <c r="T37" s="772" t="s">
        <v>17</v>
      </c>
      <c r="U37" s="773">
        <f t="shared" si="13"/>
        <v>100</v>
      </c>
      <c r="V37" s="772" t="s">
        <v>17</v>
      </c>
      <c r="W37" s="773">
        <f t="shared" si="14"/>
        <v>100</v>
      </c>
      <c r="X37" s="1810"/>
      <c r="Y37" s="317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175"/>
      <c r="Q38" s="774">
        <f t="shared" si="11"/>
        <v>111</v>
      </c>
      <c r="R38" s="775" t="s">
        <v>17</v>
      </c>
      <c r="S38" s="776">
        <f t="shared" si="12"/>
        <v>100</v>
      </c>
      <c r="T38" s="775" t="s">
        <v>17</v>
      </c>
      <c r="U38" s="776">
        <f t="shared" si="13"/>
        <v>100</v>
      </c>
      <c r="V38" s="775" t="s">
        <v>17</v>
      </c>
      <c r="W38" s="776">
        <f t="shared" si="14"/>
        <v>100</v>
      </c>
      <c r="X38" s="777"/>
      <c r="Y38" s="3175"/>
      <c r="Z38" s="778">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175"/>
      <c r="Q39" s="1807">
        <f t="shared" si="11"/>
        <v>111</v>
      </c>
      <c r="R39" s="772" t="s">
        <v>17</v>
      </c>
      <c r="S39" s="773">
        <f t="shared" si="12"/>
        <v>100</v>
      </c>
      <c r="T39" s="772" t="s">
        <v>17</v>
      </c>
      <c r="U39" s="773">
        <f t="shared" si="13"/>
        <v>100</v>
      </c>
      <c r="V39" s="772" t="s">
        <v>17</v>
      </c>
      <c r="W39" s="773">
        <f t="shared" si="14"/>
        <v>100</v>
      </c>
      <c r="X39" s="1810"/>
      <c r="Y39" s="3175"/>
      <c r="Z39" s="1811">
        <f t="shared" si="15"/>
        <v>111</v>
      </c>
      <c r="AA39" s="1808">
        <f t="shared" si="3"/>
        <v>1</v>
      </c>
      <c r="AB39" s="1808">
        <f t="shared" si="4"/>
        <v>1</v>
      </c>
      <c r="AC39" s="1808">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59"/>
      <c r="Q40" s="1807">
        <f t="shared" si="11"/>
        <v>111</v>
      </c>
      <c r="R40" s="772" t="s">
        <v>17</v>
      </c>
      <c r="S40" s="773">
        <f t="shared" si="12"/>
        <v>100</v>
      </c>
      <c r="T40" s="772" t="s">
        <v>17</v>
      </c>
      <c r="U40" s="773">
        <f t="shared" si="13"/>
        <v>100</v>
      </c>
      <c r="V40" s="772" t="s">
        <v>17</v>
      </c>
      <c r="W40" s="773">
        <f t="shared" si="14"/>
        <v>100</v>
      </c>
      <c r="X40" s="1810"/>
      <c r="Y40" s="3259"/>
      <c r="Z40" s="1811">
        <f t="shared" si="15"/>
        <v>111</v>
      </c>
      <c r="AA40" s="1808">
        <f t="shared" si="3"/>
        <v>1</v>
      </c>
      <c r="AB40" s="1808">
        <f t="shared" si="4"/>
        <v>1</v>
      </c>
      <c r="AC40" s="1808">
        <f t="shared" si="5"/>
        <v>1</v>
      </c>
    </row>
    <row r="41" spans="1:29" ht="15">
      <c r="A41" s="478" t="s">
        <v>2575</v>
      </c>
      <c r="B41" s="479"/>
      <c r="C41" s="1404" t="s">
        <v>1</v>
      </c>
      <c r="D41" s="1405"/>
      <c r="E41" s="1406"/>
      <c r="F41" s="1407"/>
      <c r="G41" s="1408"/>
      <c r="H41" s="1409"/>
      <c r="I41" s="1406"/>
      <c r="J41" s="1409"/>
      <c r="K41" s="781"/>
      <c r="L41" s="1140"/>
      <c r="M41" s="1141"/>
      <c r="N41" s="1128"/>
      <c r="O41" s="1141"/>
      <c r="P41" s="3170" t="str">
        <f>A41</f>
        <v>成交单价（元/平方米）</v>
      </c>
      <c r="Q41" s="3170"/>
      <c r="R41" s="3255">
        <f>E41</f>
        <v>0</v>
      </c>
      <c r="S41" s="3255"/>
      <c r="T41" s="3255">
        <f>G41</f>
        <v>0</v>
      </c>
      <c r="U41" s="3255"/>
      <c r="V41" s="3255">
        <f>I41</f>
        <v>0</v>
      </c>
      <c r="W41" s="3255"/>
      <c r="X41" s="757"/>
      <c r="Y41" s="779"/>
      <c r="Z41" s="757"/>
      <c r="AA41" s="757"/>
      <c r="AB41" s="757"/>
      <c r="AC41" s="757"/>
    </row>
    <row r="42" spans="1:29" ht="15.75" thickBot="1">
      <c r="A42" s="485" t="s">
        <v>2667</v>
      </c>
      <c r="B42" s="486"/>
      <c r="C42" s="1410" t="e">
        <f>R43</f>
        <v>#DIV/0!</v>
      </c>
      <c r="D42" s="1411"/>
      <c r="E42" s="1412" t="e">
        <f>R42</f>
        <v>#DIV/0!</v>
      </c>
      <c r="F42" s="1412"/>
      <c r="G42" s="1410" t="e">
        <f>T42</f>
        <v>#DIV/0!</v>
      </c>
      <c r="H42" s="1411"/>
      <c r="I42" s="1412" t="e">
        <f>V42</f>
        <v>#DIV/0!</v>
      </c>
      <c r="J42" s="1411"/>
      <c r="K42" s="782"/>
      <c r="L42" s="1140"/>
      <c r="M42" s="1141"/>
      <c r="N42" s="1128"/>
      <c r="O42" s="1141"/>
      <c r="P42" s="3170" t="str">
        <f>A42</f>
        <v>比较价值（元/平方米）</v>
      </c>
      <c r="Q42" s="3170"/>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7"/>
      <c r="Y42" s="757"/>
      <c r="Z42" s="757"/>
      <c r="AA42" s="757"/>
      <c r="AB42" s="757"/>
      <c r="AC42" s="757"/>
    </row>
    <row r="43" spans="1:29" ht="15.75" thickBot="1">
      <c r="A43" s="491" t="s">
        <v>2668</v>
      </c>
      <c r="B43" s="492"/>
      <c r="C43" s="1414" t="e">
        <f>R43</f>
        <v>#DIV/0!</v>
      </c>
      <c r="D43" s="1414"/>
      <c r="E43" s="1414"/>
      <c r="F43" s="1414"/>
      <c r="G43" s="1414"/>
      <c r="H43" s="1414"/>
      <c r="I43" s="1414"/>
      <c r="J43" s="1414"/>
      <c r="K43" s="783"/>
      <c r="L43" s="1140"/>
      <c r="M43" s="1141"/>
      <c r="N43" s="1141"/>
      <c r="O43" s="1141"/>
      <c r="P43" s="3164" t="str">
        <f>A43</f>
        <v>估价对象XX用房的比较价值（楼面单价，元/平方米）</v>
      </c>
      <c r="Q43" s="3165"/>
      <c r="R43" s="3254" t="e">
        <f>IF(F1="售价",ROUND(AVERAGE(R42:V42),0),ROUND(AVERAGE(R42:V42),1))</f>
        <v>#DIV/0!</v>
      </c>
      <c r="S43" s="3254"/>
      <c r="T43" s="3254"/>
      <c r="U43" s="3254"/>
      <c r="V43" s="3254"/>
      <c r="W43" s="3254"/>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2672</v>
      </c>
      <c r="B51" s="757"/>
      <c r="C51" s="762"/>
      <c r="D51" s="762"/>
      <c r="E51" s="762"/>
      <c r="F51" s="763"/>
      <c r="G51" s="763"/>
      <c r="H51" s="762"/>
      <c r="I51" s="762"/>
      <c r="J51" s="762"/>
      <c r="K51" s="1157"/>
      <c r="L51" s="1158"/>
      <c r="M51" s="1156"/>
      <c r="N51" s="1156"/>
      <c r="O51" s="1156"/>
      <c r="P51" s="502"/>
      <c r="Q51" s="503"/>
    </row>
    <row r="52" spans="1:17" s="507" customFormat="1" ht="15">
      <c r="A52" s="504" t="s">
        <v>2546</v>
      </c>
      <c r="B52" s="505"/>
      <c r="C52" s="1571" t="str">
        <f>YEAR(C7)&amp;"-"&amp;MONTH(C7)</f>
        <v>2019-5</v>
      </c>
      <c r="D52" s="1572">
        <f>EDATE(C52,-1)</f>
        <v>43556</v>
      </c>
      <c r="E52" s="1572">
        <f t="shared" ref="E52:O52" si="16">EDATE(D52,-1)</f>
        <v>43525</v>
      </c>
      <c r="F52" s="1572">
        <f t="shared" si="16"/>
        <v>43497</v>
      </c>
      <c r="G52" s="1572">
        <f t="shared" si="16"/>
        <v>43466</v>
      </c>
      <c r="H52" s="1572">
        <f t="shared" si="16"/>
        <v>43435</v>
      </c>
      <c r="I52" s="1572">
        <f t="shared" si="16"/>
        <v>43405</v>
      </c>
      <c r="J52" s="1572">
        <f t="shared" si="16"/>
        <v>43374</v>
      </c>
      <c r="K52" s="1572">
        <f t="shared" si="16"/>
        <v>43344</v>
      </c>
      <c r="L52" s="1572">
        <f t="shared" si="16"/>
        <v>43313</v>
      </c>
      <c r="M52" s="1572">
        <f t="shared" si="16"/>
        <v>43282</v>
      </c>
      <c r="N52" s="1572">
        <f t="shared" si="16"/>
        <v>43252</v>
      </c>
      <c r="O52" s="1572">
        <f t="shared" si="16"/>
        <v>43221</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2586</v>
      </c>
      <c r="B57" s="527" t="s">
        <v>2552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2687</v>
      </c>
      <c r="C76" s="659" t="s">
        <v>2673</v>
      </c>
      <c r="D76" s="659" t="s">
        <v>2674</v>
      </c>
      <c r="E76" s="659" t="s">
        <v>2675</v>
      </c>
      <c r="F76" s="659" t="s">
        <v>2676</v>
      </c>
      <c r="G76" s="659" t="s">
        <v>2677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3"/>
      <c r="B87" s="568"/>
      <c r="C87" s="569"/>
      <c r="D87" s="569"/>
      <c r="E87" s="569"/>
      <c r="F87" s="569"/>
      <c r="G87" s="590"/>
      <c r="H87" s="590"/>
      <c r="I87" s="590"/>
      <c r="J87" s="590"/>
      <c r="K87" s="590"/>
      <c r="L87" s="590"/>
      <c r="M87" s="591"/>
      <c r="N87" s="1150"/>
      <c r="O87" s="1150"/>
      <c r="P87" s="45"/>
      <c r="Q87" s="503"/>
    </row>
    <row r="88" spans="1:17">
      <c r="A88" s="526" t="s">
        <v>2561</v>
      </c>
      <c r="B88" s="527" t="s">
        <v>2610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2612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3"/>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14" sqref="L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19"/>
      <c r="F1" s="2581"/>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83"/>
      <c r="D2" s="1121" t="e">
        <f ca="1">SUMIF(INDIRECT("'"&amp;F2&amp;"'"&amp;"!A:A"),"承租人权益价值",INDIRECT("'"&amp;F2&amp;"'"&amp;"!c:c"))</f>
        <v>#REF!</v>
      </c>
      <c r="E2" s="2584" t="s">
        <v>2326</v>
      </c>
      <c r="F2" s="2585"/>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8" t="s">
        <v>2646</v>
      </c>
      <c r="AC4" s="3177" t="s">
        <v>2647</v>
      </c>
    </row>
    <row r="5" spans="1:29" ht="15">
      <c r="A5" s="403"/>
      <c r="B5" s="404"/>
      <c r="C5" s="3197" t="s">
        <v>2540</v>
      </c>
      <c r="D5" s="3198"/>
      <c r="E5" s="3204" t="s">
        <v>2541</v>
      </c>
      <c r="F5" s="3205"/>
      <c r="G5" s="3197" t="s">
        <v>2542</v>
      </c>
      <c r="H5" s="3198"/>
      <c r="I5" s="3197" t="s">
        <v>2543</v>
      </c>
      <c r="J5" s="3198"/>
      <c r="K5" s="609"/>
      <c r="L5" s="1127"/>
      <c r="M5" s="1128"/>
      <c r="N5" s="1128"/>
      <c r="O5" s="1128"/>
      <c r="P5" s="3185"/>
      <c r="Q5" s="3186"/>
      <c r="R5" s="3191"/>
      <c r="S5" s="3192"/>
      <c r="T5" s="3191"/>
      <c r="U5" s="3192"/>
      <c r="V5" s="3176"/>
      <c r="W5" s="3176"/>
      <c r="X5" s="1810"/>
      <c r="Y5" s="3191"/>
      <c r="Z5" s="3192"/>
      <c r="AA5" s="3178"/>
      <c r="AB5" s="3178"/>
      <c r="AC5" s="3178"/>
    </row>
    <row r="6" spans="1:29" ht="15.75" thickBot="1">
      <c r="A6" s="405"/>
      <c r="B6" s="406"/>
      <c r="C6" s="3195" t="s">
        <v>2544</v>
      </c>
      <c r="D6" s="3196"/>
      <c r="E6" s="3202" t="s">
        <v>2544</v>
      </c>
      <c r="F6" s="3203"/>
      <c r="G6" s="3195" t="s">
        <v>2544</v>
      </c>
      <c r="H6" s="3196"/>
      <c r="I6" s="3195" t="s">
        <v>2544</v>
      </c>
      <c r="J6" s="3196"/>
      <c r="K6" s="609" t="s">
        <v>2545</v>
      </c>
      <c r="L6" s="1127"/>
      <c r="M6" s="1128"/>
      <c r="N6" s="1128"/>
      <c r="O6" s="1128"/>
      <c r="P6" s="3187"/>
      <c r="Q6" s="3188"/>
      <c r="R6" s="3191"/>
      <c r="S6" s="3192"/>
      <c r="T6" s="3193"/>
      <c r="U6" s="3194"/>
      <c r="V6" s="3176"/>
      <c r="W6" s="3176"/>
      <c r="X6" s="1810"/>
      <c r="Y6" s="3193"/>
      <c r="Z6" s="3194"/>
      <c r="AA6" s="3179"/>
      <c r="AB6" s="3179"/>
      <c r="AC6" s="3179"/>
    </row>
    <row r="7" spans="1:29" s="117" customFormat="1" ht="15.75" thickBot="1">
      <c r="A7" s="407" t="s">
        <v>2546</v>
      </c>
      <c r="B7" s="408"/>
      <c r="C7" s="409">
        <f>'数据-取费表'!B2</f>
        <v>43615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199" t="s">
        <v>2547</v>
      </c>
      <c r="Q7" s="3201"/>
      <c r="R7" s="768" t="s">
        <v>17</v>
      </c>
      <c r="S7" s="769">
        <f t="shared" ref="S7:S14" si="0">F7</f>
        <v>0</v>
      </c>
      <c r="T7" s="768" t="s">
        <v>17</v>
      </c>
      <c r="U7" s="769">
        <f t="shared" ref="U7:U14" si="1">H7</f>
        <v>0</v>
      </c>
      <c r="V7" s="768" t="s">
        <v>17</v>
      </c>
      <c r="W7" s="769">
        <f t="shared" ref="W7:W14" si="2">J7</f>
        <v>0</v>
      </c>
      <c r="X7" s="770"/>
      <c r="Y7" s="3199" t="s">
        <v>2547</v>
      </c>
      <c r="Z7" s="3200"/>
      <c r="AA7" s="771" t="e">
        <f>D7/F7</f>
        <v>#DIV/0!</v>
      </c>
      <c r="AB7" s="771" t="e">
        <f>D7/H7</f>
        <v>#DIV/0!</v>
      </c>
      <c r="AC7" s="771" t="e">
        <f>D7/J7</f>
        <v>#DIV/0!</v>
      </c>
    </row>
    <row r="8" spans="1:29" s="117"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199" t="s">
        <v>2550</v>
      </c>
      <c r="Q8" s="3200"/>
      <c r="R8" s="768" t="s">
        <v>17</v>
      </c>
      <c r="S8" s="769">
        <f t="shared" si="0"/>
        <v>0</v>
      </c>
      <c r="T8" s="768" t="s">
        <v>17</v>
      </c>
      <c r="U8" s="769">
        <f t="shared" si="1"/>
        <v>0</v>
      </c>
      <c r="V8" s="768" t="s">
        <v>17</v>
      </c>
      <c r="W8" s="769">
        <f t="shared" si="2"/>
        <v>0</v>
      </c>
      <c r="X8" s="770"/>
      <c r="Y8" s="3199" t="s">
        <v>2550</v>
      </c>
      <c r="Z8" s="3200"/>
      <c r="AA8" s="771" t="e">
        <f t="shared" ref="AA8:AA36" si="3">D8/F8</f>
        <v>#DIV/0!</v>
      </c>
      <c r="AB8" s="771" t="e">
        <f t="shared" ref="AB8:AB36" si="4">D8/H8</f>
        <v>#DIV/0!</v>
      </c>
      <c r="AC8" s="771" t="e">
        <f t="shared" ref="AC8:AC36" si="5">D8/J8</f>
        <v>#DIV/0!</v>
      </c>
    </row>
    <row r="9" spans="1:29" s="117" customFormat="1">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170" t="s">
        <v>2553</v>
      </c>
      <c r="Q9" s="1792" t="str">
        <f t="shared" ref="Q9:Q14" si="6">B9</f>
        <v>用途</v>
      </c>
      <c r="R9" s="768" t="s">
        <v>17</v>
      </c>
      <c r="S9" s="769">
        <f t="shared" si="0"/>
        <v>100</v>
      </c>
      <c r="T9" s="768" t="s">
        <v>17</v>
      </c>
      <c r="U9" s="769">
        <f t="shared" si="1"/>
        <v>100</v>
      </c>
      <c r="V9" s="768" t="s">
        <v>17</v>
      </c>
      <c r="W9" s="769">
        <f t="shared" si="2"/>
        <v>100</v>
      </c>
      <c r="X9" s="770"/>
      <c r="Y9" s="3018" t="s">
        <v>2554</v>
      </c>
      <c r="Z9" s="55" t="str">
        <f t="shared" ref="Z9:Z14" si="7">Q9</f>
        <v>用途</v>
      </c>
      <c r="AA9" s="771">
        <f t="shared" si="3"/>
        <v>1</v>
      </c>
      <c r="AB9" s="771">
        <f t="shared" si="4"/>
        <v>1</v>
      </c>
      <c r="AC9" s="771">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170"/>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170"/>
      <c r="Q11" s="1792">
        <f t="shared" si="6"/>
        <v>111</v>
      </c>
      <c r="R11" s="768" t="s">
        <v>17</v>
      </c>
      <c r="S11" s="769">
        <f t="shared" si="0"/>
        <v>100</v>
      </c>
      <c r="T11" s="768" t="s">
        <v>17</v>
      </c>
      <c r="U11" s="769">
        <f t="shared" si="1"/>
        <v>100</v>
      </c>
      <c r="V11" s="768" t="s">
        <v>17</v>
      </c>
      <c r="W11" s="769">
        <f t="shared" si="2"/>
        <v>100</v>
      </c>
      <c r="X11" s="770"/>
      <c r="Y11" s="3018"/>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170"/>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170"/>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85.5">
      <c r="A14" s="400" t="s">
        <v>2557</v>
      </c>
      <c r="B14" s="628" t="s">
        <v>2707</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172" t="s">
        <v>2558</v>
      </c>
      <c r="Q14" s="1807" t="str">
        <f t="shared" si="6"/>
        <v>交通便捷度</v>
      </c>
      <c r="R14" s="772" t="s">
        <v>17</v>
      </c>
      <c r="S14" s="773">
        <f t="shared" si="0"/>
        <v>100</v>
      </c>
      <c r="T14" s="772" t="s">
        <v>17</v>
      </c>
      <c r="U14" s="773">
        <f t="shared" si="1"/>
        <v>100</v>
      </c>
      <c r="V14" s="772" t="s">
        <v>17</v>
      </c>
      <c r="W14" s="773">
        <f t="shared" si="2"/>
        <v>100</v>
      </c>
      <c r="X14" s="1810"/>
      <c r="Y14" s="3172" t="s">
        <v>2558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173"/>
      <c r="Q15" s="1807"/>
      <c r="R15" s="772"/>
      <c r="S15" s="773"/>
      <c r="T15" s="772"/>
      <c r="U15" s="773"/>
      <c r="V15" s="772"/>
      <c r="W15" s="773"/>
      <c r="X15" s="1810"/>
      <c r="Y15" s="3173"/>
      <c r="Z15" s="1811"/>
      <c r="AA15" s="1808">
        <v>1</v>
      </c>
      <c r="AB15" s="1808">
        <v>1</v>
      </c>
      <c r="AC15" s="1808">
        <v>1</v>
      </c>
    </row>
    <row r="16" spans="1:29" ht="42.75">
      <c r="A16" s="403"/>
      <c r="B16" s="630" t="s">
        <v>2686</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173"/>
      <c r="Q16" s="1807" t="str">
        <f>B16</f>
        <v>公共配套设施</v>
      </c>
      <c r="R16" s="772" t="s">
        <v>17</v>
      </c>
      <c r="S16" s="773">
        <f>F16</f>
        <v>100</v>
      </c>
      <c r="T16" s="772" t="s">
        <v>17</v>
      </c>
      <c r="U16" s="773">
        <f>H16</f>
        <v>100</v>
      </c>
      <c r="V16" s="772" t="s">
        <v>17</v>
      </c>
      <c r="W16" s="773">
        <f>J16</f>
        <v>100</v>
      </c>
      <c r="X16" s="1810"/>
      <c r="Y16" s="3173"/>
      <c r="Z16" s="1811" t="str">
        <f>Q16</f>
        <v>公共配套设施</v>
      </c>
      <c r="AA16" s="1808">
        <f t="shared" si="3"/>
        <v>1</v>
      </c>
      <c r="AB16" s="1808">
        <f t="shared" si="4"/>
        <v>1</v>
      </c>
      <c r="AC16" s="1808">
        <f t="shared" si="5"/>
        <v>1</v>
      </c>
    </row>
    <row r="17" spans="1:29" ht="15">
      <c r="A17" s="403"/>
      <c r="B17" s="631"/>
      <c r="C17" s="2605"/>
      <c r="D17" s="447"/>
      <c r="E17" s="446"/>
      <c r="F17" s="448"/>
      <c r="G17" s="446"/>
      <c r="H17" s="447"/>
      <c r="I17" s="446"/>
      <c r="J17" s="447"/>
      <c r="K17" s="614"/>
      <c r="L17" s="1137"/>
      <c r="M17" s="1128"/>
      <c r="N17" s="1128"/>
      <c r="O17" s="1128"/>
      <c r="P17" s="3173"/>
      <c r="Q17" s="1807"/>
      <c r="R17" s="772"/>
      <c r="S17" s="773"/>
      <c r="T17" s="772"/>
      <c r="U17" s="773"/>
      <c r="V17" s="772"/>
      <c r="W17" s="773"/>
      <c r="X17" s="1810"/>
      <c r="Y17" s="3173"/>
      <c r="Z17" s="1811"/>
      <c r="AA17" s="1808">
        <v>1</v>
      </c>
      <c r="AB17" s="1808">
        <v>1</v>
      </c>
      <c r="AC17" s="1808">
        <v>1</v>
      </c>
    </row>
    <row r="18" spans="1:29" ht="28.5">
      <c r="A18" s="403"/>
      <c r="B18" s="632" t="s">
        <v>2687</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173"/>
      <c r="Q18" s="1807" t="str">
        <f>B18</f>
        <v>基础设施水平</v>
      </c>
      <c r="R18" s="772" t="s">
        <v>17</v>
      </c>
      <c r="S18" s="773">
        <f>F18</f>
        <v>100</v>
      </c>
      <c r="T18" s="772" t="s">
        <v>17</v>
      </c>
      <c r="U18" s="773">
        <f>H18</f>
        <v>100</v>
      </c>
      <c r="V18" s="772" t="s">
        <v>17</v>
      </c>
      <c r="W18" s="773">
        <f>J18</f>
        <v>100</v>
      </c>
      <c r="X18" s="1810"/>
      <c r="Y18" s="3173"/>
      <c r="Z18" s="1811" t="str">
        <f>Q18</f>
        <v>基础设施水平</v>
      </c>
      <c r="AA18" s="1808">
        <f t="shared" ref="AA18" si="8">D18/F18</f>
        <v>1</v>
      </c>
      <c r="AB18" s="1808">
        <f t="shared" ref="AB18" si="9">D18/H18</f>
        <v>1</v>
      </c>
      <c r="AC18" s="1808">
        <f t="shared" ref="AC18" si="10">D18/J18</f>
        <v>1</v>
      </c>
    </row>
    <row r="19" spans="1:29" ht="15">
      <c r="A19" s="403"/>
      <c r="B19" s="632"/>
      <c r="C19" s="2605"/>
      <c r="D19" s="449"/>
      <c r="E19" s="2605"/>
      <c r="F19" s="452"/>
      <c r="G19" s="2605"/>
      <c r="H19" s="447"/>
      <c r="I19" s="446"/>
      <c r="J19" s="447"/>
      <c r="K19" s="1380"/>
      <c r="L19" s="1137"/>
      <c r="M19" s="1128"/>
      <c r="N19" s="1128"/>
      <c r="O19" s="1128"/>
      <c r="P19" s="3173"/>
      <c r="Q19" s="1807"/>
      <c r="R19" s="772"/>
      <c r="S19" s="773"/>
      <c r="T19" s="772"/>
      <c r="U19" s="773"/>
      <c r="V19" s="772"/>
      <c r="W19" s="773"/>
      <c r="X19" s="1810"/>
      <c r="Y19" s="3173"/>
      <c r="Z19" s="1811"/>
      <c r="AA19" s="1808">
        <v>1</v>
      </c>
      <c r="AB19" s="1808">
        <v>1</v>
      </c>
      <c r="AC19" s="1808">
        <v>1</v>
      </c>
    </row>
    <row r="20" spans="1:29" ht="57">
      <c r="A20" s="403"/>
      <c r="B20" s="630" t="s">
        <v>2708</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173"/>
      <c r="Q20" s="1807" t="str">
        <f>B20</f>
        <v>自然及人文环境</v>
      </c>
      <c r="R20" s="772" t="s">
        <v>17</v>
      </c>
      <c r="S20" s="773">
        <f>F20</f>
        <v>100</v>
      </c>
      <c r="T20" s="772" t="s">
        <v>17</v>
      </c>
      <c r="U20" s="773">
        <f>H20</f>
        <v>100</v>
      </c>
      <c r="V20" s="772" t="s">
        <v>17</v>
      </c>
      <c r="W20" s="773">
        <f>J20</f>
        <v>100</v>
      </c>
      <c r="X20" s="1810"/>
      <c r="Y20" s="3173"/>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173"/>
      <c r="Q21" s="1807"/>
      <c r="R21" s="772"/>
      <c r="S21" s="773"/>
      <c r="T21" s="772"/>
      <c r="U21" s="773"/>
      <c r="V21" s="772"/>
      <c r="W21" s="773"/>
      <c r="X21" s="1810"/>
      <c r="Y21" s="3173"/>
      <c r="Z21" s="1811"/>
      <c r="AA21" s="1808">
        <v>1</v>
      </c>
      <c r="AB21" s="1808">
        <v>1</v>
      </c>
      <c r="AC21" s="1808">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173"/>
      <c r="Q22" s="1807" t="str">
        <f>B22</f>
        <v>楼层</v>
      </c>
      <c r="R22" s="772" t="s">
        <v>17</v>
      </c>
      <c r="S22" s="773">
        <f>F22</f>
        <v>100</v>
      </c>
      <c r="T22" s="772" t="s">
        <v>17</v>
      </c>
      <c r="U22" s="773">
        <f>H22</f>
        <v>100</v>
      </c>
      <c r="V22" s="772" t="s">
        <v>17</v>
      </c>
      <c r="W22" s="773">
        <f>J22</f>
        <v>100</v>
      </c>
      <c r="X22" s="1810"/>
      <c r="Y22" s="3173"/>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173"/>
      <c r="Q23" s="1807">
        <f>B23</f>
        <v>111</v>
      </c>
      <c r="R23" s="772" t="s">
        <v>17</v>
      </c>
      <c r="S23" s="773">
        <f>F23</f>
        <v>100</v>
      </c>
      <c r="T23" s="772" t="s">
        <v>17</v>
      </c>
      <c r="U23" s="773">
        <f>H23</f>
        <v>100</v>
      </c>
      <c r="V23" s="772" t="s">
        <v>17</v>
      </c>
      <c r="W23" s="773">
        <f>J23</f>
        <v>100</v>
      </c>
      <c r="X23" s="1810"/>
      <c r="Y23" s="3173"/>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173"/>
      <c r="Q24" s="1807">
        <f t="shared" ref="Q24:Q36" si="11">B24</f>
        <v>111</v>
      </c>
      <c r="R24" s="772" t="s">
        <v>17</v>
      </c>
      <c r="S24" s="773">
        <f>F24</f>
        <v>100</v>
      </c>
      <c r="T24" s="772" t="s">
        <v>17</v>
      </c>
      <c r="U24" s="773">
        <f>H24</f>
        <v>100</v>
      </c>
      <c r="V24" s="772" t="s">
        <v>17</v>
      </c>
      <c r="W24" s="773">
        <f>J24</f>
        <v>100</v>
      </c>
      <c r="X24" s="1810"/>
      <c r="Y24" s="3173"/>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173"/>
      <c r="Q25" s="1792">
        <f t="shared" si="11"/>
        <v>111</v>
      </c>
      <c r="R25" s="768" t="s">
        <v>17</v>
      </c>
      <c r="S25" s="769">
        <f>F25</f>
        <v>100</v>
      </c>
      <c r="T25" s="768" t="s">
        <v>17</v>
      </c>
      <c r="U25" s="769">
        <f>H25</f>
        <v>100</v>
      </c>
      <c r="V25" s="768" t="s">
        <v>17</v>
      </c>
      <c r="W25" s="769">
        <f>J25</f>
        <v>100</v>
      </c>
      <c r="X25" s="770"/>
      <c r="Y25" s="3173"/>
      <c r="Z25" s="55">
        <f>Q25</f>
        <v>111</v>
      </c>
      <c r="AA25" s="1808">
        <f>D25/F25</f>
        <v>1</v>
      </c>
      <c r="AB25" s="1808">
        <f>D25/H25</f>
        <v>1</v>
      </c>
      <c r="AC25" s="1808">
        <f>D25/J25</f>
        <v>1</v>
      </c>
    </row>
    <row r="26" spans="1:29" ht="28.5">
      <c r="A26" s="651" t="s">
        <v>2561</v>
      </c>
      <c r="B26" s="70" t="s">
        <v>2710</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174"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75" t="s">
        <v>2563</v>
      </c>
      <c r="Z26" s="1811" t="str">
        <f t="shared" ref="Z26:Z36" si="15">Q26</f>
        <v>配套类型</v>
      </c>
      <c r="AA26" s="1808">
        <f t="shared" si="3"/>
        <v>1</v>
      </c>
      <c r="AB26" s="1808">
        <f t="shared" si="4"/>
        <v>1</v>
      </c>
      <c r="AC26" s="1808">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175"/>
      <c r="Q27" s="774" t="str">
        <f t="shared" si="11"/>
        <v>项目停车位配比</v>
      </c>
      <c r="R27" s="775" t="s">
        <v>17</v>
      </c>
      <c r="S27" s="776">
        <f t="shared" si="12"/>
        <v>100</v>
      </c>
      <c r="T27" s="775" t="s">
        <v>17</v>
      </c>
      <c r="U27" s="776">
        <f t="shared" si="13"/>
        <v>100</v>
      </c>
      <c r="V27" s="775" t="s">
        <v>17</v>
      </c>
      <c r="W27" s="776">
        <f t="shared" si="14"/>
        <v>100</v>
      </c>
      <c r="X27" s="777"/>
      <c r="Y27" s="3175"/>
      <c r="Z27" s="778" t="str">
        <f t="shared" si="15"/>
        <v>项目停车位配比</v>
      </c>
      <c r="AA27" s="1808">
        <f t="shared" si="3"/>
        <v>1</v>
      </c>
      <c r="AB27" s="1808">
        <f t="shared" si="4"/>
        <v>1</v>
      </c>
      <c r="AC27" s="1808">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175"/>
      <c r="Q28" s="1807" t="str">
        <f t="shared" si="11"/>
        <v>公共部分装修</v>
      </c>
      <c r="R28" s="772" t="s">
        <v>17</v>
      </c>
      <c r="S28" s="773">
        <f t="shared" si="12"/>
        <v>100</v>
      </c>
      <c r="T28" s="772" t="s">
        <v>17</v>
      </c>
      <c r="U28" s="773">
        <f t="shared" si="13"/>
        <v>100</v>
      </c>
      <c r="V28" s="772" t="s">
        <v>17</v>
      </c>
      <c r="W28" s="773">
        <f t="shared" si="14"/>
        <v>100</v>
      </c>
      <c r="X28" s="1810"/>
      <c r="Y28" s="3175"/>
      <c r="Z28" s="1811" t="str">
        <f t="shared" si="15"/>
        <v>公共部分装修</v>
      </c>
      <c r="AA28" s="1808">
        <f t="shared" si="3"/>
        <v>1</v>
      </c>
      <c r="AB28" s="1808">
        <f t="shared" si="4"/>
        <v>1</v>
      </c>
      <c r="AC28" s="1808">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175"/>
      <c r="Q29" s="1807" t="str">
        <f t="shared" si="11"/>
        <v>成新率</v>
      </c>
      <c r="R29" s="772" t="s">
        <v>17</v>
      </c>
      <c r="S29" s="773" t="e">
        <f t="shared" si="12"/>
        <v>#N/A</v>
      </c>
      <c r="T29" s="772" t="s">
        <v>17</v>
      </c>
      <c r="U29" s="773" t="e">
        <f t="shared" si="13"/>
        <v>#N/A</v>
      </c>
      <c r="V29" s="772" t="s">
        <v>17</v>
      </c>
      <c r="W29" s="773" t="e">
        <f t="shared" si="14"/>
        <v>#N/A</v>
      </c>
      <c r="X29" s="1810"/>
      <c r="Y29" s="3175"/>
      <c r="Z29" s="1811" t="str">
        <f t="shared" si="15"/>
        <v>成新率</v>
      </c>
      <c r="AA29" s="1808" t="e">
        <f t="shared" si="3"/>
        <v>#N/A</v>
      </c>
      <c r="AB29" s="1808" t="e">
        <f t="shared" si="4"/>
        <v>#N/A</v>
      </c>
      <c r="AC29" s="1808"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175"/>
      <c r="Q30" s="1807" t="str">
        <f t="shared" si="11"/>
        <v>物业等级</v>
      </c>
      <c r="R30" s="772" t="s">
        <v>17</v>
      </c>
      <c r="S30" s="773">
        <f t="shared" si="12"/>
        <v>100</v>
      </c>
      <c r="T30" s="772" t="s">
        <v>17</v>
      </c>
      <c r="U30" s="773">
        <f t="shared" si="13"/>
        <v>100</v>
      </c>
      <c r="V30" s="772" t="s">
        <v>17</v>
      </c>
      <c r="W30" s="773">
        <f t="shared" si="14"/>
        <v>100</v>
      </c>
      <c r="X30" s="1810"/>
      <c r="Y30" s="3175"/>
      <c r="Z30" s="1811" t="str">
        <f t="shared" si="15"/>
        <v>物业等级</v>
      </c>
      <c r="AA30" s="1808">
        <f t="shared" si="3"/>
        <v>1</v>
      </c>
      <c r="AB30" s="1808">
        <f t="shared" si="4"/>
        <v>1</v>
      </c>
      <c r="AC30" s="1808">
        <f t="shared" si="5"/>
        <v>1</v>
      </c>
    </row>
    <row r="31" spans="1:29" s="117"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175"/>
      <c r="Q31" s="1792" t="str">
        <f t="shared" si="11"/>
        <v>停车位面积</v>
      </c>
      <c r="R31" s="768" t="s">
        <v>17</v>
      </c>
      <c r="S31" s="769" t="e">
        <f t="shared" si="12"/>
        <v>#N/A</v>
      </c>
      <c r="T31" s="768" t="s">
        <v>17</v>
      </c>
      <c r="U31" s="769" t="e">
        <f t="shared" si="13"/>
        <v>#N/A</v>
      </c>
      <c r="V31" s="768" t="s">
        <v>17</v>
      </c>
      <c r="W31" s="769" t="e">
        <f t="shared" si="14"/>
        <v>#N/A</v>
      </c>
      <c r="X31" s="770"/>
      <c r="Y31" s="3175"/>
      <c r="Z31" s="55" t="str">
        <f t="shared" si="15"/>
        <v>停车位面积</v>
      </c>
      <c r="AA31" s="771" t="e">
        <f t="shared" si="3"/>
        <v>#N/A</v>
      </c>
      <c r="AB31" s="771" t="e">
        <f t="shared" si="4"/>
        <v>#N/A</v>
      </c>
      <c r="AC31" s="771"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175" t="s">
        <v>2563</v>
      </c>
      <c r="Q32" s="1807" t="str">
        <f t="shared" si="11"/>
        <v>车位类型</v>
      </c>
      <c r="R32" s="772" t="s">
        <v>17</v>
      </c>
      <c r="S32" s="773">
        <f t="shared" si="12"/>
        <v>100</v>
      </c>
      <c r="T32" s="772" t="s">
        <v>17</v>
      </c>
      <c r="U32" s="773">
        <f t="shared" si="13"/>
        <v>100</v>
      </c>
      <c r="V32" s="772" t="s">
        <v>17</v>
      </c>
      <c r="W32" s="773">
        <f t="shared" si="14"/>
        <v>100</v>
      </c>
      <c r="X32" s="1810"/>
      <c r="Y32" s="3175" t="s">
        <v>2563</v>
      </c>
      <c r="Z32" s="1811" t="str">
        <f t="shared" si="15"/>
        <v>车位类型</v>
      </c>
      <c r="AA32" s="1808">
        <f t="shared" si="3"/>
        <v>1</v>
      </c>
      <c r="AB32" s="1808">
        <f t="shared" si="4"/>
        <v>1</v>
      </c>
      <c r="AC32" s="1808">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175"/>
      <c r="Q33" s="1807" t="str">
        <f t="shared" si="11"/>
        <v>是否直接入户</v>
      </c>
      <c r="R33" s="772" t="s">
        <v>17</v>
      </c>
      <c r="S33" s="773">
        <f t="shared" si="12"/>
        <v>100</v>
      </c>
      <c r="T33" s="772" t="s">
        <v>17</v>
      </c>
      <c r="U33" s="773">
        <f t="shared" si="13"/>
        <v>100</v>
      </c>
      <c r="V33" s="772" t="s">
        <v>17</v>
      </c>
      <c r="W33" s="773">
        <f t="shared" si="14"/>
        <v>100</v>
      </c>
      <c r="X33" s="1810"/>
      <c r="Y33" s="317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175"/>
      <c r="Q34" s="1807">
        <f t="shared" si="11"/>
        <v>111</v>
      </c>
      <c r="R34" s="772" t="s">
        <v>17</v>
      </c>
      <c r="S34" s="773">
        <f t="shared" si="12"/>
        <v>100</v>
      </c>
      <c r="T34" s="772" t="s">
        <v>17</v>
      </c>
      <c r="U34" s="773">
        <f t="shared" si="13"/>
        <v>100</v>
      </c>
      <c r="V34" s="772" t="s">
        <v>17</v>
      </c>
      <c r="W34" s="773">
        <f t="shared" si="14"/>
        <v>100</v>
      </c>
      <c r="X34" s="1810"/>
      <c r="Y34" s="317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175"/>
      <c r="Q35" s="774">
        <f t="shared" si="11"/>
        <v>111</v>
      </c>
      <c r="R35" s="775" t="s">
        <v>17</v>
      </c>
      <c r="S35" s="776">
        <f t="shared" si="12"/>
        <v>100</v>
      </c>
      <c r="T35" s="775" t="s">
        <v>17</v>
      </c>
      <c r="U35" s="776">
        <f t="shared" si="13"/>
        <v>100</v>
      </c>
      <c r="V35" s="775" t="s">
        <v>17</v>
      </c>
      <c r="W35" s="776">
        <f t="shared" si="14"/>
        <v>100</v>
      </c>
      <c r="X35" s="777"/>
      <c r="Y35" s="3175"/>
      <c r="Z35" s="778">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175"/>
      <c r="Q36" s="1807">
        <f t="shared" si="11"/>
        <v>111</v>
      </c>
      <c r="R36" s="772" t="s">
        <v>17</v>
      </c>
      <c r="S36" s="773">
        <f t="shared" si="12"/>
        <v>100</v>
      </c>
      <c r="T36" s="772" t="s">
        <v>17</v>
      </c>
      <c r="U36" s="773">
        <f t="shared" si="13"/>
        <v>100</v>
      </c>
      <c r="V36" s="772" t="s">
        <v>17</v>
      </c>
      <c r="W36" s="773">
        <f t="shared" si="14"/>
        <v>100</v>
      </c>
      <c r="X36" s="1810"/>
      <c r="Y36" s="3175"/>
      <c r="Z36" s="1811">
        <f t="shared" si="15"/>
        <v>111</v>
      </c>
      <c r="AA36" s="1808">
        <f t="shared" si="3"/>
        <v>1</v>
      </c>
      <c r="AB36" s="1808">
        <f t="shared" si="4"/>
        <v>1</v>
      </c>
      <c r="AC36" s="1808">
        <f t="shared" si="5"/>
        <v>1</v>
      </c>
    </row>
    <row r="37" spans="1:29" ht="15">
      <c r="A37" s="478" t="s">
        <v>2718</v>
      </c>
      <c r="B37" s="2692" t="s">
        <v>2719</v>
      </c>
      <c r="C37" s="1404" t="s">
        <v>1</v>
      </c>
      <c r="D37" s="1405"/>
      <c r="E37" s="1406"/>
      <c r="F37" s="1407"/>
      <c r="G37" s="1408"/>
      <c r="H37" s="1409"/>
      <c r="I37" s="1406"/>
      <c r="J37" s="1409"/>
      <c r="K37" s="618"/>
      <c r="L37" s="1140"/>
      <c r="M37" s="1141"/>
      <c r="N37" s="1128"/>
      <c r="O37" s="1141"/>
      <c r="P37" s="3170" t="str">
        <f>A37</f>
        <v>成交单价</v>
      </c>
      <c r="Q37" s="3170"/>
      <c r="R37" s="3255">
        <f>E37</f>
        <v>0</v>
      </c>
      <c r="S37" s="3255"/>
      <c r="T37" s="3255">
        <f>G37</f>
        <v>0</v>
      </c>
      <c r="U37" s="3255"/>
      <c r="V37" s="3255">
        <f>I37</f>
        <v>0</v>
      </c>
      <c r="W37" s="3255"/>
      <c r="X37" s="757"/>
      <c r="Y37" s="779"/>
      <c r="Z37" s="757"/>
      <c r="AA37" s="757"/>
      <c r="AB37" s="757"/>
      <c r="AC37" s="757"/>
    </row>
    <row r="38" spans="1:29" ht="15.75" thickBot="1">
      <c r="A38" s="485" t="s">
        <v>2720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170" t="str">
        <f>A38</f>
        <v>比较价值（元/平方米）</v>
      </c>
      <c r="Q38" s="3170"/>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7"/>
      <c r="Y38" s="757"/>
      <c r="Z38" s="757"/>
      <c r="AA38" s="757"/>
      <c r="AB38" s="757"/>
      <c r="AC38" s="757"/>
    </row>
    <row r="39" spans="1:29" ht="15.75" thickBot="1">
      <c r="A39" s="491" t="s">
        <v>2721</v>
      </c>
      <c r="B39" s="492"/>
      <c r="C39" s="1414" t="e">
        <f>R39</f>
        <v>#DIV/0!</v>
      </c>
      <c r="D39" s="1414"/>
      <c r="E39" s="1414"/>
      <c r="F39" s="1414"/>
      <c r="G39" s="1414"/>
      <c r="H39" s="1414"/>
      <c r="I39" s="1414"/>
      <c r="J39" s="1414"/>
      <c r="K39" s="620"/>
      <c r="L39" s="1140"/>
      <c r="M39" s="1141"/>
      <c r="N39" s="1141"/>
      <c r="O39" s="1141"/>
      <c r="P39" s="3164" t="str">
        <f>A39</f>
        <v>估价对象XX用房的比较价值（楼面单价，元/平方米）</v>
      </c>
      <c r="Q39" s="3165"/>
      <c r="R39" s="3254" t="e">
        <f>IF(F1="售价",ROUND(AVERAGE(R38:V38),0),ROUND(AVERAGE(R38:V38),1))</f>
        <v>#DIV/0!</v>
      </c>
      <c r="S39" s="3254"/>
      <c r="T39" s="3254"/>
      <c r="U39" s="3254"/>
      <c r="V39" s="3254"/>
      <c r="W39" s="3254"/>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2726</v>
      </c>
      <c r="B48" s="505"/>
      <c r="C48" s="1571" t="str">
        <f>YEAR(C7)&amp;"-"&amp;MONTH(C7)</f>
        <v>2019-5</v>
      </c>
      <c r="D48" s="1572">
        <f>EDATE(C48,-1)</f>
        <v>43556</v>
      </c>
      <c r="E48" s="1572">
        <f t="shared" ref="E48:O48" si="16">EDATE(D48,-1)</f>
        <v>43525</v>
      </c>
      <c r="F48" s="1572">
        <f t="shared" si="16"/>
        <v>43497</v>
      </c>
      <c r="G48" s="1572">
        <f t="shared" si="16"/>
        <v>43466</v>
      </c>
      <c r="H48" s="1572">
        <f t="shared" si="16"/>
        <v>43435</v>
      </c>
      <c r="I48" s="1572">
        <f t="shared" si="16"/>
        <v>43405</v>
      </c>
      <c r="J48" s="1572">
        <f t="shared" si="16"/>
        <v>43374</v>
      </c>
      <c r="K48" s="1572">
        <f t="shared" si="16"/>
        <v>43344</v>
      </c>
      <c r="L48" s="1572">
        <f t="shared" si="16"/>
        <v>43313</v>
      </c>
      <c r="M48" s="1572">
        <f t="shared" si="16"/>
        <v>43282</v>
      </c>
      <c r="N48" s="1572">
        <f t="shared" si="16"/>
        <v>43252</v>
      </c>
      <c r="O48" s="1572">
        <f t="shared" si="16"/>
        <v>43221</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2548</v>
      </c>
      <c r="B51" s="509"/>
      <c r="C51" s="521" t="s">
        <v>2650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2586</v>
      </c>
      <c r="B53" s="527" t="s">
        <v>2552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2601</v>
      </c>
      <c r="C65" s="577" t="s">
        <v>2595</v>
      </c>
      <c r="D65" s="577" t="s">
        <v>2596</v>
      </c>
      <c r="E65" s="577" t="s">
        <v>2597</v>
      </c>
      <c r="F65" s="577" t="s">
        <v>2598</v>
      </c>
      <c r="G65" s="577" t="s">
        <v>2599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2687</v>
      </c>
      <c r="C67" s="659" t="s">
        <v>2673</v>
      </c>
      <c r="D67" s="659" t="s">
        <v>2674</v>
      </c>
      <c r="E67" s="659" t="s">
        <v>2675</v>
      </c>
      <c r="F67" s="659" t="s">
        <v>2676</v>
      </c>
      <c r="G67" s="659" t="s">
        <v>2677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2607</v>
      </c>
      <c r="C69" s="577" t="s">
        <v>2595</v>
      </c>
      <c r="D69" s="577" t="s">
        <v>2596</v>
      </c>
      <c r="E69" s="577" t="s">
        <v>2597</v>
      </c>
      <c r="F69" s="577" t="s">
        <v>2598</v>
      </c>
      <c r="G69" s="577" t="s">
        <v>2599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2561</v>
      </c>
      <c r="B79" s="527" t="s">
        <v>2728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2731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27"/>
      <c r="F1" s="2581"/>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83"/>
      <c r="D2" s="1121" t="e">
        <f ca="1">SUMIF(INDIRECT("'"&amp;F2&amp;"'"&amp;"!A:A"),"承租人权益价值",INDIRECT("'"&amp;F2&amp;"'"&amp;"!c:c"))</f>
        <v>#REF!</v>
      </c>
      <c r="E2" s="2584" t="s">
        <v>2326</v>
      </c>
      <c r="F2" s="2585"/>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2327</v>
      </c>
      <c r="B3" s="608" t="e">
        <f ca="1">IF(C2="——",C37,ROUND(B2*10000/D3,0))</f>
        <v>#DIV/0!</v>
      </c>
      <c r="C3" s="399" t="s">
        <v>2642</v>
      </c>
      <c r="D3" s="398">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8" t="s">
        <v>2646</v>
      </c>
      <c r="AC4" s="3177" t="s">
        <v>2647</v>
      </c>
    </row>
    <row r="5" spans="1:29" ht="15">
      <c r="A5" s="403"/>
      <c r="B5" s="404"/>
      <c r="C5" s="3197" t="s">
        <v>2540</v>
      </c>
      <c r="D5" s="3198"/>
      <c r="E5" s="3204" t="s">
        <v>2541</v>
      </c>
      <c r="F5" s="3205"/>
      <c r="G5" s="3197" t="s">
        <v>2542</v>
      </c>
      <c r="H5" s="3198"/>
      <c r="I5" s="3197" t="s">
        <v>2543</v>
      </c>
      <c r="J5" s="3198"/>
      <c r="K5" s="609"/>
      <c r="L5" s="1127"/>
      <c r="M5" s="1128"/>
      <c r="N5" s="1128"/>
      <c r="O5" s="1128"/>
      <c r="P5" s="3185"/>
      <c r="Q5" s="3186"/>
      <c r="R5" s="3191"/>
      <c r="S5" s="3192"/>
      <c r="T5" s="3191"/>
      <c r="U5" s="3192"/>
      <c r="V5" s="3176"/>
      <c r="W5" s="3176"/>
      <c r="X5" s="1810"/>
      <c r="Y5" s="3191"/>
      <c r="Z5" s="3192"/>
      <c r="AA5" s="3178"/>
      <c r="AB5" s="3178"/>
      <c r="AC5" s="3178"/>
    </row>
    <row r="6" spans="1:29" ht="15.75" thickBot="1">
      <c r="A6" s="405"/>
      <c r="B6" s="406"/>
      <c r="C6" s="3195" t="s">
        <v>2544</v>
      </c>
      <c r="D6" s="3196"/>
      <c r="E6" s="3202" t="s">
        <v>2544</v>
      </c>
      <c r="F6" s="3203"/>
      <c r="G6" s="3195" t="s">
        <v>2544</v>
      </c>
      <c r="H6" s="3196"/>
      <c r="I6" s="3195" t="s">
        <v>2544</v>
      </c>
      <c r="J6" s="3196"/>
      <c r="K6" s="609" t="s">
        <v>2545</v>
      </c>
      <c r="L6" s="1127"/>
      <c r="M6" s="1128"/>
      <c r="N6" s="1128"/>
      <c r="O6" s="1128"/>
      <c r="P6" s="3187"/>
      <c r="Q6" s="3188"/>
      <c r="R6" s="3191"/>
      <c r="S6" s="3192"/>
      <c r="T6" s="3193"/>
      <c r="U6" s="3194"/>
      <c r="V6" s="3176"/>
      <c r="W6" s="3176"/>
      <c r="X6" s="1810"/>
      <c r="Y6" s="3193"/>
      <c r="Z6" s="3194"/>
      <c r="AA6" s="3179"/>
      <c r="AB6" s="3179"/>
      <c r="AC6" s="3179"/>
    </row>
    <row r="7" spans="1:29" s="117" customFormat="1" ht="15.75" thickBot="1">
      <c r="A7" s="407" t="s">
        <v>2546</v>
      </c>
      <c r="B7" s="408"/>
      <c r="C7" s="409">
        <f>'数据-取费表'!B2</f>
        <v>43615</v>
      </c>
      <c r="D7" s="410">
        <v>100</v>
      </c>
      <c r="E7" s="411"/>
      <c r="F7" s="412">
        <f>SUMIF(46:46,YEAR(E7)&amp;"-"&amp;MONTH(E7),47:47)</f>
        <v>0</v>
      </c>
      <c r="G7" s="2693"/>
      <c r="H7" s="410">
        <f>SUMIF(46:46,YEAR(G7)&amp;"-"&amp;MONTH(G7),47:47)</f>
        <v>0</v>
      </c>
      <c r="I7" s="411"/>
      <c r="J7" s="410">
        <f>SUMIF(46:46,YEAR(I7)&amp;"-"&amp;MONTH(I7),47:47)</f>
        <v>0</v>
      </c>
      <c r="K7" s="610"/>
      <c r="L7" s="1129"/>
      <c r="M7" s="1130"/>
      <c r="N7" s="1130"/>
      <c r="O7" s="1130"/>
      <c r="P7" s="3199" t="s">
        <v>2547</v>
      </c>
      <c r="Q7" s="3201"/>
      <c r="R7" s="768" t="s">
        <v>17</v>
      </c>
      <c r="S7" s="769">
        <f t="shared" ref="S7:S14" si="0">F7</f>
        <v>0</v>
      </c>
      <c r="T7" s="768" t="s">
        <v>17</v>
      </c>
      <c r="U7" s="769">
        <f t="shared" ref="U7:U14" si="1">H7</f>
        <v>0</v>
      </c>
      <c r="V7" s="768" t="s">
        <v>17</v>
      </c>
      <c r="W7" s="769">
        <f t="shared" ref="W7:W14" si="2">J7</f>
        <v>0</v>
      </c>
      <c r="X7" s="770"/>
      <c r="Y7" s="3199" t="s">
        <v>2547</v>
      </c>
      <c r="Z7" s="3200"/>
      <c r="AA7" s="771" t="e">
        <f>D7/F7</f>
        <v>#DIV/0!</v>
      </c>
      <c r="AB7" s="771" t="e">
        <f>D7/H7</f>
        <v>#DIV/0!</v>
      </c>
      <c r="AC7" s="771" t="e">
        <f>D7/J7</f>
        <v>#DIV/0!</v>
      </c>
    </row>
    <row r="8" spans="1:29" s="117"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199" t="s">
        <v>2550</v>
      </c>
      <c r="Q8" s="3200"/>
      <c r="R8" s="768" t="s">
        <v>17</v>
      </c>
      <c r="S8" s="769">
        <f t="shared" si="0"/>
        <v>0</v>
      </c>
      <c r="T8" s="768" t="s">
        <v>17</v>
      </c>
      <c r="U8" s="769">
        <f t="shared" si="1"/>
        <v>0</v>
      </c>
      <c r="V8" s="768" t="s">
        <v>17</v>
      </c>
      <c r="W8" s="769">
        <f t="shared" si="2"/>
        <v>0</v>
      </c>
      <c r="X8" s="770"/>
      <c r="Y8" s="3199" t="s">
        <v>2550</v>
      </c>
      <c r="Z8" s="3200"/>
      <c r="AA8" s="771" t="e">
        <f t="shared" ref="AA8:AA34" si="3">D8/F8</f>
        <v>#DIV/0!</v>
      </c>
      <c r="AB8" s="771" t="e">
        <f t="shared" ref="AB8:AB34" si="4">D8/H8</f>
        <v>#DIV/0!</v>
      </c>
      <c r="AC8" s="771" t="e">
        <f t="shared" ref="AC8:AC34" si="5">D8/J8</f>
        <v>#DIV/0!</v>
      </c>
    </row>
    <row r="9" spans="1:29" s="117"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170" t="s">
        <v>2553</v>
      </c>
      <c r="Q9" s="1792" t="str">
        <f t="shared" ref="Q9:Q14" si="6">B9</f>
        <v>用途</v>
      </c>
      <c r="R9" s="768" t="s">
        <v>17</v>
      </c>
      <c r="S9" s="769">
        <f t="shared" si="0"/>
        <v>100</v>
      </c>
      <c r="T9" s="768" t="s">
        <v>17</v>
      </c>
      <c r="U9" s="769">
        <f t="shared" si="1"/>
        <v>100</v>
      </c>
      <c r="V9" s="768" t="s">
        <v>17</v>
      </c>
      <c r="W9" s="769">
        <f t="shared" si="2"/>
        <v>100</v>
      </c>
      <c r="X9" s="770"/>
      <c r="Y9" s="3018" t="s">
        <v>2554</v>
      </c>
      <c r="Z9" s="55" t="str">
        <f t="shared" ref="Z9:Z14" si="7">Q9</f>
        <v>用途</v>
      </c>
      <c r="AA9" s="771">
        <f t="shared" si="3"/>
        <v>1</v>
      </c>
      <c r="AB9" s="771">
        <f t="shared" si="4"/>
        <v>1</v>
      </c>
      <c r="AC9" s="771">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170"/>
      <c r="Q10" s="1792"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170"/>
      <c r="Q11" s="1792">
        <f t="shared" si="6"/>
        <v>111</v>
      </c>
      <c r="R11" s="768" t="s">
        <v>17</v>
      </c>
      <c r="S11" s="769">
        <f t="shared" si="0"/>
        <v>100</v>
      </c>
      <c r="T11" s="768" t="s">
        <v>17</v>
      </c>
      <c r="U11" s="769">
        <f t="shared" si="1"/>
        <v>100</v>
      </c>
      <c r="V11" s="768" t="s">
        <v>17</v>
      </c>
      <c r="W11" s="769">
        <f t="shared" si="2"/>
        <v>100</v>
      </c>
      <c r="X11" s="770"/>
      <c r="Y11" s="3018"/>
      <c r="Z11" s="55">
        <f t="shared" si="7"/>
        <v>111</v>
      </c>
      <c r="AA11" s="771">
        <f t="shared" si="3"/>
        <v>1</v>
      </c>
      <c r="AB11" s="771">
        <f t="shared" si="4"/>
        <v>1</v>
      </c>
      <c r="AC11" s="771">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170"/>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7"/>
      <c r="M13" s="1128"/>
      <c r="N13" s="1128"/>
      <c r="O13" s="1136"/>
      <c r="P13" s="3170"/>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85.5">
      <c r="A14" s="439" t="s">
        <v>2557</v>
      </c>
      <c r="B14" s="69" t="s">
        <v>2707</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172" t="s">
        <v>2558</v>
      </c>
      <c r="Q14" s="1807" t="str">
        <f t="shared" si="6"/>
        <v>交通便捷度</v>
      </c>
      <c r="R14" s="772" t="s">
        <v>17</v>
      </c>
      <c r="S14" s="773">
        <f t="shared" si="0"/>
        <v>100</v>
      </c>
      <c r="T14" s="772" t="s">
        <v>17</v>
      </c>
      <c r="U14" s="773">
        <f t="shared" si="1"/>
        <v>100</v>
      </c>
      <c r="V14" s="772" t="s">
        <v>17</v>
      </c>
      <c r="W14" s="773">
        <f t="shared" si="2"/>
        <v>100</v>
      </c>
      <c r="X14" s="1810"/>
      <c r="Y14" s="3172" t="s">
        <v>2558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173"/>
      <c r="Q15" s="1807"/>
      <c r="R15" s="772"/>
      <c r="S15" s="773"/>
      <c r="T15" s="772"/>
      <c r="U15" s="773"/>
      <c r="V15" s="772"/>
      <c r="W15" s="773"/>
      <c r="X15" s="1810"/>
      <c r="Y15" s="3173"/>
      <c r="Z15" s="1811"/>
      <c r="AA15" s="1808">
        <v>1</v>
      </c>
      <c r="AB15" s="1808">
        <v>1</v>
      </c>
      <c r="AC15" s="1808">
        <v>1</v>
      </c>
    </row>
    <row r="16" spans="1:29" ht="42.75">
      <c r="A16" s="427"/>
      <c r="B16" s="450" t="s">
        <v>2686</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173"/>
      <c r="Q16" s="1807" t="str">
        <f>B16</f>
        <v>公共配套设施</v>
      </c>
      <c r="R16" s="772" t="s">
        <v>17</v>
      </c>
      <c r="S16" s="773">
        <f>F16</f>
        <v>100</v>
      </c>
      <c r="T16" s="772" t="s">
        <v>17</v>
      </c>
      <c r="U16" s="773">
        <f>H16</f>
        <v>100</v>
      </c>
      <c r="V16" s="772" t="s">
        <v>17</v>
      </c>
      <c r="W16" s="773">
        <f>J16</f>
        <v>100</v>
      </c>
      <c r="X16" s="1810"/>
      <c r="Y16" s="3173"/>
      <c r="Z16" s="1811" t="str">
        <f>Q16</f>
        <v>公共配套设施</v>
      </c>
      <c r="AA16" s="1808">
        <f t="shared" si="3"/>
        <v>1</v>
      </c>
      <c r="AB16" s="1808">
        <f t="shared" si="4"/>
        <v>1</v>
      </c>
      <c r="AC16" s="1808">
        <f t="shared" si="5"/>
        <v>1</v>
      </c>
    </row>
    <row r="17" spans="1:29" ht="15">
      <c r="A17" s="427"/>
      <c r="B17" s="455"/>
      <c r="C17" s="2605"/>
      <c r="D17" s="447"/>
      <c r="E17" s="446"/>
      <c r="F17" s="448"/>
      <c r="G17" s="446"/>
      <c r="H17" s="447"/>
      <c r="I17" s="446"/>
      <c r="J17" s="447"/>
      <c r="K17" s="614"/>
      <c r="L17" s="1137"/>
      <c r="M17" s="1128"/>
      <c r="N17" s="1128"/>
      <c r="O17" s="1136"/>
      <c r="P17" s="3173"/>
      <c r="Q17" s="1807"/>
      <c r="R17" s="772"/>
      <c r="S17" s="773"/>
      <c r="T17" s="772"/>
      <c r="U17" s="773"/>
      <c r="V17" s="772"/>
      <c r="W17" s="773"/>
      <c r="X17" s="1810"/>
      <c r="Y17" s="3173"/>
      <c r="Z17" s="1811"/>
      <c r="AA17" s="1808">
        <v>1</v>
      </c>
      <c r="AB17" s="1808">
        <v>1</v>
      </c>
      <c r="AC17" s="1808">
        <v>1</v>
      </c>
    </row>
    <row r="18" spans="1:29" ht="28.5">
      <c r="A18" s="427"/>
      <c r="B18" s="1381" t="s">
        <v>2687</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173"/>
      <c r="Q18" s="1807" t="str">
        <f>B18</f>
        <v>基础设施水平</v>
      </c>
      <c r="R18" s="772" t="s">
        <v>17</v>
      </c>
      <c r="S18" s="773">
        <f>F18</f>
        <v>100</v>
      </c>
      <c r="T18" s="772" t="s">
        <v>17</v>
      </c>
      <c r="U18" s="773">
        <f>H18</f>
        <v>100</v>
      </c>
      <c r="V18" s="772" t="s">
        <v>17</v>
      </c>
      <c r="W18" s="773">
        <f>J18</f>
        <v>100</v>
      </c>
      <c r="X18" s="1810"/>
      <c r="Y18" s="3173"/>
      <c r="Z18" s="1811" t="str">
        <f>Q18</f>
        <v>基础设施水平</v>
      </c>
      <c r="AA18" s="1808">
        <f t="shared" ref="AA18" si="8">D18/F18</f>
        <v>1</v>
      </c>
      <c r="AB18" s="1808">
        <f t="shared" ref="AB18" si="9">D18/H18</f>
        <v>1</v>
      </c>
      <c r="AC18" s="1808">
        <f t="shared" ref="AC18" si="10">D18/J18</f>
        <v>1</v>
      </c>
    </row>
    <row r="19" spans="1:29" ht="15">
      <c r="A19" s="427"/>
      <c r="B19" s="1381"/>
      <c r="C19" s="2605"/>
      <c r="D19" s="449"/>
      <c r="E19" s="2605"/>
      <c r="F19" s="452"/>
      <c r="G19" s="2605"/>
      <c r="H19" s="447"/>
      <c r="I19" s="446"/>
      <c r="J19" s="447"/>
      <c r="K19" s="1380"/>
      <c r="L19" s="1137"/>
      <c r="M19" s="1128"/>
      <c r="N19" s="1128"/>
      <c r="O19" s="1136"/>
      <c r="P19" s="3173"/>
      <c r="Q19" s="1807"/>
      <c r="R19" s="772"/>
      <c r="S19" s="773"/>
      <c r="T19" s="772"/>
      <c r="U19" s="773"/>
      <c r="V19" s="772"/>
      <c r="W19" s="773"/>
      <c r="X19" s="1810"/>
      <c r="Y19" s="3173"/>
      <c r="Z19" s="1811"/>
      <c r="AA19" s="1808">
        <v>1</v>
      </c>
      <c r="AB19" s="1808">
        <v>1</v>
      </c>
      <c r="AC19" s="1808">
        <v>1</v>
      </c>
    </row>
    <row r="20" spans="1:29" ht="57">
      <c r="A20" s="427"/>
      <c r="B20" s="450" t="s">
        <v>2708</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173"/>
      <c r="Q20" s="1807" t="str">
        <f>B20</f>
        <v>自然及人文环境</v>
      </c>
      <c r="R20" s="772" t="s">
        <v>17</v>
      </c>
      <c r="S20" s="773">
        <f>F20</f>
        <v>100</v>
      </c>
      <c r="T20" s="772" t="s">
        <v>17</v>
      </c>
      <c r="U20" s="773">
        <f>H20</f>
        <v>100</v>
      </c>
      <c r="V20" s="772" t="s">
        <v>17</v>
      </c>
      <c r="W20" s="773">
        <f>J20</f>
        <v>100</v>
      </c>
      <c r="X20" s="1810"/>
      <c r="Y20" s="3173"/>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173"/>
      <c r="Q21" s="1807"/>
      <c r="R21" s="772"/>
      <c r="S21" s="773"/>
      <c r="T21" s="772"/>
      <c r="U21" s="773"/>
      <c r="V21" s="772"/>
      <c r="W21" s="773"/>
      <c r="X21" s="1810"/>
      <c r="Y21" s="3173"/>
      <c r="Z21" s="1811"/>
      <c r="AA21" s="1808">
        <v>1</v>
      </c>
      <c r="AB21" s="1808">
        <v>1</v>
      </c>
      <c r="AC21" s="1808">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173"/>
      <c r="Q22" s="1807" t="str">
        <f>B22</f>
        <v>楼层</v>
      </c>
      <c r="R22" s="772" t="s">
        <v>17</v>
      </c>
      <c r="S22" s="773">
        <f>F22</f>
        <v>100</v>
      </c>
      <c r="T22" s="772" t="s">
        <v>17</v>
      </c>
      <c r="U22" s="773">
        <f>H22</f>
        <v>100</v>
      </c>
      <c r="V22" s="772" t="s">
        <v>17</v>
      </c>
      <c r="W22" s="773">
        <f>J22</f>
        <v>100</v>
      </c>
      <c r="X22" s="1810"/>
      <c r="Y22" s="3173"/>
      <c r="Z22" s="1811" t="str">
        <f>Q22</f>
        <v>楼层</v>
      </c>
      <c r="AA22" s="1808">
        <f t="shared" si="3"/>
        <v>1</v>
      </c>
      <c r="AB22" s="1808">
        <f t="shared" si="4"/>
        <v>1</v>
      </c>
      <c r="AC22" s="1808">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173"/>
      <c r="Q23" s="1807">
        <f>B23</f>
        <v>111</v>
      </c>
      <c r="R23" s="772" t="s">
        <v>17</v>
      </c>
      <c r="S23" s="773">
        <f>F23</f>
        <v>100</v>
      </c>
      <c r="T23" s="772" t="s">
        <v>17</v>
      </c>
      <c r="U23" s="773">
        <f>H23</f>
        <v>100</v>
      </c>
      <c r="V23" s="772" t="s">
        <v>17</v>
      </c>
      <c r="W23" s="773">
        <f>J23</f>
        <v>100</v>
      </c>
      <c r="X23" s="1810"/>
      <c r="Y23" s="3173"/>
      <c r="Z23" s="1811">
        <f>Q23</f>
        <v>111</v>
      </c>
      <c r="AA23" s="1808">
        <f t="shared" si="3"/>
        <v>1</v>
      </c>
      <c r="AB23" s="1808">
        <f t="shared" si="4"/>
        <v>1</v>
      </c>
      <c r="AC23" s="1808">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173"/>
      <c r="Q24" s="1807">
        <f t="shared" ref="Q24:Q34" si="11">B24</f>
        <v>111</v>
      </c>
      <c r="R24" s="772" t="s">
        <v>17</v>
      </c>
      <c r="S24" s="773">
        <f>F24</f>
        <v>100</v>
      </c>
      <c r="T24" s="772" t="s">
        <v>17</v>
      </c>
      <c r="U24" s="773">
        <f>H24</f>
        <v>100</v>
      </c>
      <c r="V24" s="772" t="s">
        <v>17</v>
      </c>
      <c r="W24" s="773">
        <f>J24</f>
        <v>100</v>
      </c>
      <c r="X24" s="1810"/>
      <c r="Y24" s="3173"/>
      <c r="Z24" s="1811">
        <f>Q24</f>
        <v>111</v>
      </c>
      <c r="AA24" s="1808">
        <f t="shared" si="3"/>
        <v>1</v>
      </c>
      <c r="AB24" s="1808">
        <f t="shared" si="4"/>
        <v>1</v>
      </c>
      <c r="AC24" s="1808">
        <f t="shared" si="5"/>
        <v>1</v>
      </c>
    </row>
    <row r="25" spans="1:29" s="117"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29"/>
      <c r="M25" s="1130"/>
      <c r="N25" s="1130"/>
      <c r="O25" s="1131"/>
      <c r="P25" s="3173"/>
      <c r="Q25" s="1792">
        <f t="shared" si="11"/>
        <v>111</v>
      </c>
      <c r="R25" s="768" t="s">
        <v>17</v>
      </c>
      <c r="S25" s="769">
        <f>F25</f>
        <v>100</v>
      </c>
      <c r="T25" s="768" t="s">
        <v>17</v>
      </c>
      <c r="U25" s="769">
        <f>H25</f>
        <v>100</v>
      </c>
      <c r="V25" s="768" t="s">
        <v>17</v>
      </c>
      <c r="W25" s="769">
        <f>J25</f>
        <v>100</v>
      </c>
      <c r="X25" s="770"/>
      <c r="Y25" s="3173"/>
      <c r="Z25" s="55">
        <f>Q25</f>
        <v>111</v>
      </c>
      <c r="AA25" s="1808">
        <f>D25/F25</f>
        <v>1</v>
      </c>
      <c r="AB25" s="1808">
        <f>D25/H25</f>
        <v>1</v>
      </c>
      <c r="AC25" s="1808">
        <f>D25/J25</f>
        <v>1</v>
      </c>
    </row>
    <row r="26" spans="1:29" ht="28.5">
      <c r="A26" s="465" t="s">
        <v>2561</v>
      </c>
      <c r="B26" s="71" t="s">
        <v>2712</v>
      </c>
      <c r="C26" s="2676"/>
      <c r="D26" s="466">
        <v>100</v>
      </c>
      <c r="E26" s="2676"/>
      <c r="F26" s="666">
        <f>SUMIF(77:77,E26,78:78)-SUMIF(77:77,C26,78:78)+100</f>
        <v>100</v>
      </c>
      <c r="G26" s="2676"/>
      <c r="H26" s="466">
        <f>SUMIF(77:77,G26,78:78)-SUMIF(77:77,C26,78:78)+100</f>
        <v>100</v>
      </c>
      <c r="I26" s="2676"/>
      <c r="J26" s="466">
        <f>SUMIF(77:77,I26,78:78)-SUMIF(77:77,C26,78:78)+100</f>
        <v>100</v>
      </c>
      <c r="K26" s="611"/>
      <c r="L26" s="1137"/>
      <c r="M26" s="1128"/>
      <c r="N26" s="1128"/>
      <c r="O26" s="1136"/>
      <c r="P26" s="3174"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75" t="s">
        <v>2563</v>
      </c>
      <c r="Z26" s="1811" t="str">
        <f t="shared" ref="Z26:Z34" si="15">Q26</f>
        <v>公共部分装修</v>
      </c>
      <c r="AA26" s="1808">
        <f t="shared" si="3"/>
        <v>1</v>
      </c>
      <c r="AB26" s="1808">
        <f t="shared" si="4"/>
        <v>1</v>
      </c>
      <c r="AC26" s="1808">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175"/>
      <c r="Q27" s="774" t="str">
        <f t="shared" si="11"/>
        <v>成新率</v>
      </c>
      <c r="R27" s="775" t="s">
        <v>17</v>
      </c>
      <c r="S27" s="776" t="e">
        <f t="shared" si="12"/>
        <v>#N/A</v>
      </c>
      <c r="T27" s="775" t="s">
        <v>17</v>
      </c>
      <c r="U27" s="776" t="e">
        <f t="shared" si="13"/>
        <v>#N/A</v>
      </c>
      <c r="V27" s="775" t="s">
        <v>17</v>
      </c>
      <c r="W27" s="776" t="e">
        <f t="shared" si="14"/>
        <v>#N/A</v>
      </c>
      <c r="X27" s="777"/>
      <c r="Y27" s="3175"/>
      <c r="Z27" s="778" t="str">
        <f t="shared" si="15"/>
        <v>成新率</v>
      </c>
      <c r="AA27" s="1808" t="e">
        <f t="shared" si="3"/>
        <v>#N/A</v>
      </c>
      <c r="AB27" s="1808" t="e">
        <f t="shared" si="4"/>
        <v>#N/A</v>
      </c>
      <c r="AC27" s="1808"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175"/>
      <c r="Q28" s="1807" t="str">
        <f t="shared" si="11"/>
        <v>物业等级</v>
      </c>
      <c r="R28" s="772" t="s">
        <v>17</v>
      </c>
      <c r="S28" s="773">
        <f t="shared" si="12"/>
        <v>100</v>
      </c>
      <c r="T28" s="772" t="s">
        <v>17</v>
      </c>
      <c r="U28" s="773">
        <f t="shared" si="13"/>
        <v>100</v>
      </c>
      <c r="V28" s="772" t="s">
        <v>17</v>
      </c>
      <c r="W28" s="773">
        <f t="shared" si="14"/>
        <v>100</v>
      </c>
      <c r="X28" s="1810"/>
      <c r="Y28" s="3175"/>
      <c r="Z28" s="1811" t="str">
        <f t="shared" si="15"/>
        <v>物业等级</v>
      </c>
      <c r="AA28" s="1808">
        <f t="shared" si="3"/>
        <v>1</v>
      </c>
      <c r="AB28" s="1808">
        <f t="shared" si="4"/>
        <v>1</v>
      </c>
      <c r="AC28" s="1808">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175"/>
      <c r="Q29" s="1807" t="str">
        <f t="shared" si="11"/>
        <v>有无电梯</v>
      </c>
      <c r="R29" s="772" t="s">
        <v>17</v>
      </c>
      <c r="S29" s="773">
        <f t="shared" si="12"/>
        <v>100</v>
      </c>
      <c r="T29" s="772" t="s">
        <v>17</v>
      </c>
      <c r="U29" s="773">
        <f t="shared" si="13"/>
        <v>100</v>
      </c>
      <c r="V29" s="772" t="s">
        <v>17</v>
      </c>
      <c r="W29" s="773">
        <f t="shared" si="14"/>
        <v>100</v>
      </c>
      <c r="X29" s="1810"/>
      <c r="Y29" s="3175"/>
      <c r="Z29" s="1811" t="str">
        <f t="shared" si="15"/>
        <v>有无电梯</v>
      </c>
      <c r="AA29" s="1808">
        <f t="shared" si="3"/>
        <v>1</v>
      </c>
      <c r="AB29" s="1808">
        <f t="shared" si="4"/>
        <v>1</v>
      </c>
      <c r="AC29" s="1808">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175"/>
      <c r="Q30" s="1807" t="str">
        <f t="shared" si="11"/>
        <v>建筑面积</v>
      </c>
      <c r="R30" s="772" t="s">
        <v>17</v>
      </c>
      <c r="S30" s="773" t="e">
        <f t="shared" si="12"/>
        <v>#N/A</v>
      </c>
      <c r="T30" s="772" t="s">
        <v>17</v>
      </c>
      <c r="U30" s="773" t="e">
        <f t="shared" si="13"/>
        <v>#N/A</v>
      </c>
      <c r="V30" s="772" t="s">
        <v>17</v>
      </c>
      <c r="W30" s="773" t="e">
        <f t="shared" si="14"/>
        <v>#N/A</v>
      </c>
      <c r="X30" s="1810"/>
      <c r="Y30" s="3175"/>
      <c r="Z30" s="1811" t="str">
        <f t="shared" si="15"/>
        <v>建筑面积</v>
      </c>
      <c r="AA30" s="1808" t="e">
        <f t="shared" si="3"/>
        <v>#N/A</v>
      </c>
      <c r="AB30" s="1808" t="e">
        <f t="shared" si="4"/>
        <v>#N/A</v>
      </c>
      <c r="AC30" s="1808" t="e">
        <f t="shared" si="5"/>
        <v>#N/A</v>
      </c>
    </row>
    <row r="31" spans="1:29" s="117"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175"/>
      <c r="Q31" s="1792" t="str">
        <f t="shared" si="11"/>
        <v>是否封闭</v>
      </c>
      <c r="R31" s="768" t="s">
        <v>17</v>
      </c>
      <c r="S31" s="769">
        <f t="shared" si="12"/>
        <v>100</v>
      </c>
      <c r="T31" s="768" t="s">
        <v>17</v>
      </c>
      <c r="U31" s="769">
        <f t="shared" si="13"/>
        <v>100</v>
      </c>
      <c r="V31" s="768" t="s">
        <v>17</v>
      </c>
      <c r="W31" s="769">
        <f t="shared" si="14"/>
        <v>100</v>
      </c>
      <c r="X31" s="770"/>
      <c r="Y31" s="3175"/>
      <c r="Z31" s="55" t="str">
        <f t="shared" si="15"/>
        <v>是否封闭</v>
      </c>
      <c r="AA31" s="771">
        <f t="shared" si="3"/>
        <v>1</v>
      </c>
      <c r="AB31" s="771">
        <f t="shared" si="4"/>
        <v>1</v>
      </c>
      <c r="AC31" s="771">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175" t="s">
        <v>2563</v>
      </c>
      <c r="Q32" s="1807">
        <f t="shared" si="11"/>
        <v>111</v>
      </c>
      <c r="R32" s="772" t="s">
        <v>17</v>
      </c>
      <c r="S32" s="773">
        <f t="shared" si="12"/>
        <v>100</v>
      </c>
      <c r="T32" s="772" t="s">
        <v>17</v>
      </c>
      <c r="U32" s="773">
        <f t="shared" si="13"/>
        <v>100</v>
      </c>
      <c r="V32" s="772" t="s">
        <v>17</v>
      </c>
      <c r="W32" s="773">
        <f t="shared" si="14"/>
        <v>100</v>
      </c>
      <c r="X32" s="1810"/>
      <c r="Y32" s="3175" t="s">
        <v>2563</v>
      </c>
      <c r="Z32" s="1811">
        <f t="shared" si="15"/>
        <v>111</v>
      </c>
      <c r="AA32" s="1808">
        <f t="shared" si="3"/>
        <v>1</v>
      </c>
      <c r="AB32" s="1808">
        <f t="shared" si="4"/>
        <v>1</v>
      </c>
      <c r="AC32" s="1808">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175"/>
      <c r="Q33" s="1807">
        <f t="shared" si="11"/>
        <v>111</v>
      </c>
      <c r="R33" s="772" t="s">
        <v>17</v>
      </c>
      <c r="S33" s="773">
        <f t="shared" si="12"/>
        <v>100</v>
      </c>
      <c r="T33" s="772" t="s">
        <v>17</v>
      </c>
      <c r="U33" s="773">
        <f t="shared" si="13"/>
        <v>100</v>
      </c>
      <c r="V33" s="772" t="s">
        <v>17</v>
      </c>
      <c r="W33" s="773">
        <f t="shared" si="14"/>
        <v>100</v>
      </c>
      <c r="X33" s="1810"/>
      <c r="Y33" s="3175"/>
      <c r="Z33" s="1811">
        <f t="shared" si="15"/>
        <v>111</v>
      </c>
      <c r="AA33" s="1808">
        <f t="shared" si="3"/>
        <v>1</v>
      </c>
      <c r="AB33" s="1808">
        <f t="shared" si="4"/>
        <v>1</v>
      </c>
      <c r="AC33" s="1808">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7"/>
      <c r="M34" s="1128"/>
      <c r="N34" s="1128"/>
      <c r="O34" s="1136"/>
      <c r="P34" s="3175"/>
      <c r="Q34" s="1807">
        <f t="shared" si="11"/>
        <v>111</v>
      </c>
      <c r="R34" s="772" t="s">
        <v>17</v>
      </c>
      <c r="S34" s="773">
        <f t="shared" si="12"/>
        <v>100</v>
      </c>
      <c r="T34" s="772" t="s">
        <v>17</v>
      </c>
      <c r="U34" s="773">
        <f t="shared" si="13"/>
        <v>100</v>
      </c>
      <c r="V34" s="772" t="s">
        <v>17</v>
      </c>
      <c r="W34" s="773">
        <f t="shared" si="14"/>
        <v>100</v>
      </c>
      <c r="X34" s="1810"/>
      <c r="Y34" s="3175"/>
      <c r="Z34" s="1811">
        <f t="shared" si="15"/>
        <v>111</v>
      </c>
      <c r="AA34" s="1808">
        <f t="shared" si="3"/>
        <v>1</v>
      </c>
      <c r="AB34" s="1808">
        <f t="shared" si="4"/>
        <v>1</v>
      </c>
      <c r="AC34" s="1808">
        <f t="shared" si="5"/>
        <v>1</v>
      </c>
    </row>
    <row r="35" spans="1:29" ht="15">
      <c r="A35" s="478" t="s">
        <v>2575</v>
      </c>
      <c r="B35" s="479"/>
      <c r="C35" s="1404" t="s">
        <v>1</v>
      </c>
      <c r="D35" s="1405"/>
      <c r="E35" s="1406"/>
      <c r="F35" s="1407"/>
      <c r="G35" s="1408"/>
      <c r="H35" s="1409"/>
      <c r="I35" s="1406"/>
      <c r="J35" s="1409"/>
      <c r="K35" s="781"/>
      <c r="L35" s="1140"/>
      <c r="M35" s="1141"/>
      <c r="N35" s="1128"/>
      <c r="O35" s="1141"/>
      <c r="P35" s="3170" t="str">
        <f>A35</f>
        <v>成交单价（元/平方米）</v>
      </c>
      <c r="Q35" s="3170"/>
      <c r="R35" s="3255">
        <f>E35</f>
        <v>0</v>
      </c>
      <c r="S35" s="3255"/>
      <c r="T35" s="3255">
        <f>G35</f>
        <v>0</v>
      </c>
      <c r="U35" s="3255"/>
      <c r="V35" s="3255">
        <f>I35</f>
        <v>0</v>
      </c>
      <c r="W35" s="3255"/>
      <c r="X35" s="757"/>
      <c r="Y35" s="779"/>
      <c r="Z35" s="757"/>
      <c r="AA35" s="757"/>
      <c r="AB35" s="757"/>
      <c r="AC35" s="757"/>
    </row>
    <row r="36" spans="1:29" ht="15.75" thickBot="1">
      <c r="A36" s="485" t="s">
        <v>2667</v>
      </c>
      <c r="B36" s="486"/>
      <c r="C36" s="1410" t="e">
        <f>R37</f>
        <v>#DIV/0!</v>
      </c>
      <c r="D36" s="1411"/>
      <c r="E36" s="1412" t="e">
        <f>R36</f>
        <v>#DIV/0!</v>
      </c>
      <c r="F36" s="1412"/>
      <c r="G36" s="1410" t="e">
        <f>T36</f>
        <v>#DIV/0!</v>
      </c>
      <c r="H36" s="1411"/>
      <c r="I36" s="1412" t="e">
        <f>V36</f>
        <v>#DIV/0!</v>
      </c>
      <c r="J36" s="1411"/>
      <c r="K36" s="782"/>
      <c r="L36" s="1140"/>
      <c r="M36" s="1141"/>
      <c r="N36" s="1128"/>
      <c r="O36" s="1141"/>
      <c r="P36" s="3170" t="str">
        <f>A36</f>
        <v>比较价值（元/平方米）</v>
      </c>
      <c r="Q36" s="3170"/>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7"/>
      <c r="Y36" s="757"/>
      <c r="Z36" s="757"/>
      <c r="AA36" s="757"/>
      <c r="AB36" s="757"/>
      <c r="AC36" s="757"/>
    </row>
    <row r="37" spans="1:29" ht="15.75" thickBot="1">
      <c r="A37" s="491" t="s">
        <v>2668</v>
      </c>
      <c r="B37" s="492"/>
      <c r="C37" s="1414" t="e">
        <f>R37</f>
        <v>#DIV/0!</v>
      </c>
      <c r="D37" s="1414"/>
      <c r="E37" s="1414"/>
      <c r="F37" s="1414"/>
      <c r="G37" s="1414"/>
      <c r="H37" s="1414"/>
      <c r="I37" s="1414"/>
      <c r="J37" s="1414"/>
      <c r="K37" s="783"/>
      <c r="L37" s="1140"/>
      <c r="M37" s="1141"/>
      <c r="N37" s="1141"/>
      <c r="O37" s="1141"/>
      <c r="P37" s="3164" t="str">
        <f>A37</f>
        <v>估价对象XX用房的比较价值（楼面单价，元/平方米）</v>
      </c>
      <c r="Q37" s="3165"/>
      <c r="R37" s="3254" t="e">
        <f>IF(F1="售价",ROUND(AVERAGE(R36:V36),0),ROUND(AVERAGE(R36:V36),1))</f>
        <v>#DIV/0!</v>
      </c>
      <c r="S37" s="3254"/>
      <c r="T37" s="3254"/>
      <c r="U37" s="3254"/>
      <c r="V37" s="3254"/>
      <c r="W37" s="3254"/>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2672</v>
      </c>
      <c r="B45" s="757"/>
      <c r="C45" s="762"/>
      <c r="D45" s="762"/>
      <c r="E45" s="762"/>
      <c r="F45" s="763"/>
      <c r="G45" s="763"/>
      <c r="H45" s="762"/>
      <c r="I45" s="762"/>
      <c r="J45" s="762"/>
      <c r="K45" s="764"/>
      <c r="L45" s="765"/>
      <c r="M45" s="762"/>
      <c r="N45" s="762"/>
      <c r="O45" s="762"/>
      <c r="P45" s="502"/>
      <c r="Q45" s="503"/>
    </row>
    <row r="46" spans="1:29" s="507" customFormat="1" ht="15">
      <c r="A46" s="504" t="s">
        <v>2546</v>
      </c>
      <c r="B46" s="505"/>
      <c r="C46" s="1571" t="str">
        <f>YEAR(C7)&amp;"-"&amp;MONTH(C7)</f>
        <v>2019-5</v>
      </c>
      <c r="D46" s="1572">
        <f>EDATE(C46,-1)</f>
        <v>43556</v>
      </c>
      <c r="E46" s="1572">
        <f t="shared" ref="E46:O46" si="16">EDATE(D46,-1)</f>
        <v>43525</v>
      </c>
      <c r="F46" s="1572">
        <f t="shared" si="16"/>
        <v>43497</v>
      </c>
      <c r="G46" s="1572">
        <f t="shared" si="16"/>
        <v>43466</v>
      </c>
      <c r="H46" s="1572">
        <f t="shared" si="16"/>
        <v>43435</v>
      </c>
      <c r="I46" s="1572">
        <f t="shared" si="16"/>
        <v>43405</v>
      </c>
      <c r="J46" s="1572">
        <f t="shared" si="16"/>
        <v>43374</v>
      </c>
      <c r="K46" s="1572">
        <f t="shared" si="16"/>
        <v>43344</v>
      </c>
      <c r="L46" s="1572">
        <f t="shared" si="16"/>
        <v>43313</v>
      </c>
      <c r="M46" s="1572">
        <f t="shared" si="16"/>
        <v>43282</v>
      </c>
      <c r="N46" s="1572">
        <f t="shared" si="16"/>
        <v>43252</v>
      </c>
      <c r="O46" s="1572">
        <f t="shared" si="16"/>
        <v>43221</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2586</v>
      </c>
      <c r="B51" s="527" t="s">
        <v>2552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2687</v>
      </c>
      <c r="C65" s="659" t="s">
        <v>2673</v>
      </c>
      <c r="D65" s="659" t="s">
        <v>2674</v>
      </c>
      <c r="E65" s="659" t="s">
        <v>2675</v>
      </c>
      <c r="F65" s="659" t="s">
        <v>2676</v>
      </c>
      <c r="G65" s="659" t="s">
        <v>2677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2561</v>
      </c>
      <c r="B77" s="527" t="s">
        <v>2614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2731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2741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2325</v>
      </c>
      <c r="B2" s="670"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2327</v>
      </c>
      <c r="B3" s="608" t="e">
        <f>ROUND(IF(D3="",B2*10000/'数据-汇总表'!E3,B2*10000/D3),0)</f>
        <v>#DIV/0!</v>
      </c>
      <c r="C3" s="246" t="s">
        <v>2744</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2643</v>
      </c>
      <c r="B4" s="401"/>
      <c r="C4" s="3167" t="s">
        <v>2644</v>
      </c>
      <c r="D4" s="3180"/>
      <c r="E4" s="3181" t="s">
        <v>2645</v>
      </c>
      <c r="F4" s="3182"/>
      <c r="G4" s="3167" t="s">
        <v>2646</v>
      </c>
      <c r="H4" s="3180"/>
      <c r="I4" s="3167" t="s">
        <v>2647</v>
      </c>
      <c r="J4" s="3180"/>
      <c r="K4" s="609" t="s">
        <v>2648</v>
      </c>
      <c r="L4" s="1127"/>
      <c r="M4" s="1128"/>
      <c r="N4" s="1128"/>
      <c r="O4" s="1128"/>
      <c r="P4" s="3183" t="s">
        <v>2649</v>
      </c>
      <c r="Q4" s="3184"/>
      <c r="R4" s="3189" t="s">
        <v>2645</v>
      </c>
      <c r="S4" s="3190"/>
      <c r="T4" s="3189" t="s">
        <v>2646</v>
      </c>
      <c r="U4" s="3190"/>
      <c r="V4" s="3176" t="s">
        <v>2647</v>
      </c>
      <c r="W4" s="3176"/>
      <c r="X4" s="1810"/>
      <c r="Y4" s="3189" t="s">
        <v>2649</v>
      </c>
      <c r="Z4" s="3190"/>
      <c r="AA4" s="3177" t="s">
        <v>2645</v>
      </c>
      <c r="AB4" s="3178" t="s">
        <v>2646</v>
      </c>
      <c r="AC4" s="3177" t="s">
        <v>2647</v>
      </c>
    </row>
    <row r="5" spans="1:29" ht="15">
      <c r="A5" s="403"/>
      <c r="B5" s="404"/>
      <c r="C5" s="3197" t="s">
        <v>2540</v>
      </c>
      <c r="D5" s="3198"/>
      <c r="E5" s="3204" t="s">
        <v>2541</v>
      </c>
      <c r="F5" s="3205"/>
      <c r="G5" s="3197" t="s">
        <v>2542</v>
      </c>
      <c r="H5" s="3198"/>
      <c r="I5" s="3197" t="s">
        <v>2543</v>
      </c>
      <c r="J5" s="3198"/>
      <c r="K5" s="609"/>
      <c r="L5" s="1127"/>
      <c r="M5" s="1128"/>
      <c r="N5" s="1128"/>
      <c r="O5" s="1128"/>
      <c r="P5" s="3185"/>
      <c r="Q5" s="3186"/>
      <c r="R5" s="3191"/>
      <c r="S5" s="3192"/>
      <c r="T5" s="3191"/>
      <c r="U5" s="3192"/>
      <c r="V5" s="3176"/>
      <c r="W5" s="3176"/>
      <c r="X5" s="1810"/>
      <c r="Y5" s="3191"/>
      <c r="Z5" s="3192"/>
      <c r="AA5" s="3178"/>
      <c r="AB5" s="3178"/>
      <c r="AC5" s="3178"/>
    </row>
    <row r="6" spans="1:29" ht="15.75" thickBot="1">
      <c r="A6" s="405"/>
      <c r="B6" s="406"/>
      <c r="C6" s="3277" t="s">
        <v>2794</v>
      </c>
      <c r="D6" s="3278"/>
      <c r="E6" s="3279" t="s">
        <v>2794</v>
      </c>
      <c r="F6" s="3280"/>
      <c r="G6" s="3277" t="s">
        <v>2794</v>
      </c>
      <c r="H6" s="3278"/>
      <c r="I6" s="3277" t="s">
        <v>2794</v>
      </c>
      <c r="J6" s="3278"/>
      <c r="K6" s="609" t="s">
        <v>2545</v>
      </c>
      <c r="L6" s="1127"/>
      <c r="M6" s="1128"/>
      <c r="N6" s="1128"/>
      <c r="O6" s="1128"/>
      <c r="P6" s="3187"/>
      <c r="Q6" s="3188"/>
      <c r="R6" s="3191"/>
      <c r="S6" s="3192"/>
      <c r="T6" s="3193"/>
      <c r="U6" s="3194"/>
      <c r="V6" s="3176"/>
      <c r="W6" s="3176"/>
      <c r="X6" s="1810"/>
      <c r="Y6" s="3193"/>
      <c r="Z6" s="3194"/>
      <c r="AA6" s="3179"/>
      <c r="AB6" s="3179"/>
      <c r="AC6" s="3179"/>
    </row>
    <row r="7" spans="1:29" s="117" customFormat="1" ht="15.75" thickBot="1">
      <c r="A7" s="407" t="s">
        <v>2546</v>
      </c>
      <c r="B7" s="408"/>
      <c r="C7" s="409">
        <f>'数据-取费表'!B2</f>
        <v>43615</v>
      </c>
      <c r="D7" s="410">
        <v>100</v>
      </c>
      <c r="E7" s="411"/>
      <c r="F7" s="412">
        <f>SUMIF(65:65,YEAR(E7)&amp;"-"&amp;INT((MONTH(E7)+2)/3),66:66)</f>
        <v>0</v>
      </c>
      <c r="G7" s="2693"/>
      <c r="H7" s="410">
        <f>SUMIF(65:65,YEAR(G7)&amp;"-"&amp;INT((MONTH(G7)+2)/3),66:66)</f>
        <v>0</v>
      </c>
      <c r="I7" s="2693"/>
      <c r="J7" s="410">
        <f>SUMIF(65:65,YEAR(I7)&amp;"-"&amp;INT((MONTH(I7)+2)/3),66:66)</f>
        <v>0</v>
      </c>
      <c r="K7" s="610"/>
      <c r="L7" s="1129"/>
      <c r="M7" s="1130"/>
      <c r="N7" s="1130"/>
      <c r="O7" s="1130"/>
      <c r="P7" s="3199" t="s">
        <v>2547</v>
      </c>
      <c r="Q7" s="3201"/>
      <c r="R7" s="768" t="s">
        <v>17</v>
      </c>
      <c r="S7" s="769">
        <f t="shared" ref="S7:S15" si="0">F7</f>
        <v>0</v>
      </c>
      <c r="T7" s="768" t="s">
        <v>17</v>
      </c>
      <c r="U7" s="769">
        <f t="shared" ref="U7:U15" si="1">H7</f>
        <v>0</v>
      </c>
      <c r="V7" s="768" t="s">
        <v>17</v>
      </c>
      <c r="W7" s="769">
        <f t="shared" ref="W7:W15" si="2">J7</f>
        <v>0</v>
      </c>
      <c r="X7" s="770"/>
      <c r="Y7" s="3199" t="s">
        <v>2547</v>
      </c>
      <c r="Z7" s="3200"/>
      <c r="AA7" s="771" t="e">
        <f>D7/F7</f>
        <v>#DIV/0!</v>
      </c>
      <c r="AB7" s="771" t="e">
        <f>D7/H7</f>
        <v>#DIV/0!</v>
      </c>
      <c r="AC7" s="771" t="e">
        <f>D7/J7</f>
        <v>#DIV/0!</v>
      </c>
    </row>
    <row r="8" spans="1:29" s="117"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199" t="s">
        <v>2550</v>
      </c>
      <c r="Q8" s="3200"/>
      <c r="R8" s="768" t="s">
        <v>17</v>
      </c>
      <c r="S8" s="769">
        <f t="shared" si="0"/>
        <v>0</v>
      </c>
      <c r="T8" s="768" t="s">
        <v>17</v>
      </c>
      <c r="U8" s="769">
        <f t="shared" si="1"/>
        <v>0</v>
      </c>
      <c r="V8" s="768" t="s">
        <v>17</v>
      </c>
      <c r="W8" s="769">
        <f t="shared" si="2"/>
        <v>0</v>
      </c>
      <c r="X8" s="770"/>
      <c r="Y8" s="3199" t="s">
        <v>2550</v>
      </c>
      <c r="Z8" s="3200"/>
      <c r="AA8" s="771" t="e">
        <f t="shared" ref="AA8:AA40" si="3">D8/F8</f>
        <v>#DIV/0!</v>
      </c>
      <c r="AB8" s="771" t="e">
        <f t="shared" ref="AB8:AB40" si="4">D8/H8</f>
        <v>#DIV/0!</v>
      </c>
      <c r="AC8" s="771" t="e">
        <f t="shared" ref="AC8:AC40" si="5">D8/J8</f>
        <v>#DIV/0!</v>
      </c>
    </row>
    <row r="9" spans="1:29" s="117" customFormat="1">
      <c r="A9" s="414" t="s">
        <v>2551</v>
      </c>
      <c r="B9" s="71" t="s">
        <v>2552</v>
      </c>
      <c r="C9" s="2696"/>
      <c r="D9" s="134">
        <v>100</v>
      </c>
      <c r="E9" s="2696"/>
      <c r="F9" s="134">
        <f>SUMIF(70:70,E9,71:71)-SUMIF(70:70,C9,71:71)+100</f>
        <v>100</v>
      </c>
      <c r="G9" s="2696"/>
      <c r="H9" s="134">
        <f>SUMIF(70:70,G9,71:71)-SUMIF(70:70,C9,71:71)+100</f>
        <v>100</v>
      </c>
      <c r="I9" s="2696"/>
      <c r="J9" s="134">
        <f>SUMIF(70:70,I9,71:71)-SUMIF(70:70,C9,71:71)+100</f>
        <v>100</v>
      </c>
      <c r="K9" s="610"/>
      <c r="L9" s="1129"/>
      <c r="M9" s="1130"/>
      <c r="N9" s="1130"/>
      <c r="O9" s="1131"/>
      <c r="P9" s="3170" t="s">
        <v>2553</v>
      </c>
      <c r="Q9" s="1792" t="str">
        <f t="shared" ref="Q9:Q15" si="6">B9</f>
        <v>用途</v>
      </c>
      <c r="R9" s="768" t="s">
        <v>17</v>
      </c>
      <c r="S9" s="769">
        <f t="shared" si="0"/>
        <v>100</v>
      </c>
      <c r="T9" s="768" t="s">
        <v>17</v>
      </c>
      <c r="U9" s="769">
        <f t="shared" si="1"/>
        <v>100</v>
      </c>
      <c r="V9" s="768" t="s">
        <v>17</v>
      </c>
      <c r="W9" s="769">
        <f t="shared" si="2"/>
        <v>100</v>
      </c>
      <c r="X9" s="770"/>
      <c r="Y9" s="3018" t="s">
        <v>2554</v>
      </c>
      <c r="Z9" s="55" t="str">
        <f t="shared" ref="Z9:Z15" si="7">Q9</f>
        <v>用途</v>
      </c>
      <c r="AA9" s="771">
        <f t="shared" si="3"/>
        <v>1</v>
      </c>
      <c r="AB9" s="771">
        <f t="shared" si="4"/>
        <v>1</v>
      </c>
      <c r="AC9" s="771">
        <f t="shared" si="5"/>
        <v>1</v>
      </c>
    </row>
    <row r="10" spans="1:29" s="426" customFormat="1" ht="27">
      <c r="A10" s="420"/>
      <c r="B10" s="421" t="s">
        <v>2555</v>
      </c>
      <c r="C10" s="431"/>
      <c r="D10" s="135">
        <v>100</v>
      </c>
      <c r="E10" s="431"/>
      <c r="F10" s="135">
        <f>ROUND(100/'数据-取费表'!G16,0)</f>
        <v>122</v>
      </c>
      <c r="G10" s="431"/>
      <c r="H10" s="135">
        <f>ROUND(100/'数据-取费表'!G16,0)</f>
        <v>122</v>
      </c>
      <c r="I10" s="431"/>
      <c r="J10" s="135">
        <f>ROUND(100/'数据-取费表'!G16,0)</f>
        <v>122</v>
      </c>
      <c r="K10" s="671"/>
      <c r="L10" s="1132"/>
      <c r="M10" s="1133"/>
      <c r="N10" s="1133"/>
      <c r="O10" s="1134"/>
      <c r="P10" s="3170"/>
      <c r="Q10" s="1792" t="str">
        <f t="shared" si="6"/>
        <v>土地使用年限（年）</v>
      </c>
      <c r="R10" s="768" t="s">
        <v>17</v>
      </c>
      <c r="S10" s="769">
        <f t="shared" si="0"/>
        <v>122</v>
      </c>
      <c r="T10" s="768" t="s">
        <v>17</v>
      </c>
      <c r="U10" s="769">
        <f t="shared" si="1"/>
        <v>122</v>
      </c>
      <c r="V10" s="768" t="s">
        <v>17</v>
      </c>
      <c r="W10" s="769">
        <f t="shared" si="2"/>
        <v>122</v>
      </c>
      <c r="X10" s="770"/>
      <c r="Y10" s="3018"/>
      <c r="Z10" s="55" t="str">
        <f t="shared" si="7"/>
        <v>土地使用年限（年）</v>
      </c>
      <c r="AA10" s="771">
        <f t="shared" si="3"/>
        <v>0.81967213114754101</v>
      </c>
      <c r="AB10" s="771">
        <f t="shared" si="4"/>
        <v>0.81967213114754101</v>
      </c>
      <c r="AC10" s="771">
        <f t="shared" si="5"/>
        <v>0.81967213114754101</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170"/>
      <c r="Q11" s="1792"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170"/>
      <c r="Q12" s="1792">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170"/>
      <c r="Q13" s="1792">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170"/>
      <c r="Q14" s="1792">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57">
      <c r="A15" s="439" t="s">
        <v>2557</v>
      </c>
      <c r="B15" s="628" t="s">
        <v>2795</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172" t="s">
        <v>2558</v>
      </c>
      <c r="Q15" s="1807" t="str">
        <f t="shared" si="6"/>
        <v>产业集聚程度</v>
      </c>
      <c r="R15" s="772" t="s">
        <v>17</v>
      </c>
      <c r="S15" s="773">
        <f t="shared" si="0"/>
        <v>100</v>
      </c>
      <c r="T15" s="772" t="s">
        <v>17</v>
      </c>
      <c r="U15" s="773">
        <f t="shared" si="1"/>
        <v>100</v>
      </c>
      <c r="V15" s="772" t="s">
        <v>17</v>
      </c>
      <c r="W15" s="773">
        <f t="shared" si="2"/>
        <v>100</v>
      </c>
      <c r="X15" s="1810"/>
      <c r="Y15" s="3172" t="s">
        <v>2558</v>
      </c>
      <c r="Z15" s="1811" t="str">
        <f t="shared" si="7"/>
        <v>产业集聚程度</v>
      </c>
      <c r="AA15" s="1808">
        <f t="shared" si="3"/>
        <v>1</v>
      </c>
      <c r="AB15" s="1808">
        <f t="shared" si="4"/>
        <v>1</v>
      </c>
      <c r="AC15" s="1808">
        <f t="shared" si="5"/>
        <v>1</v>
      </c>
    </row>
    <row r="16" spans="1:29" ht="15">
      <c r="A16" s="427"/>
      <c r="B16" s="629"/>
      <c r="C16" s="446"/>
      <c r="D16" s="447"/>
      <c r="E16" s="2608"/>
      <c r="F16" s="447"/>
      <c r="G16" s="2608"/>
      <c r="H16" s="449"/>
      <c r="I16" s="2608"/>
      <c r="J16" s="447"/>
      <c r="K16" s="671"/>
      <c r="L16" s="1137"/>
      <c r="M16" s="1128"/>
      <c r="N16" s="1128"/>
      <c r="O16" s="1136"/>
      <c r="P16" s="3173"/>
      <c r="Q16" s="1807"/>
      <c r="R16" s="772"/>
      <c r="S16" s="773"/>
      <c r="T16" s="772"/>
      <c r="U16" s="773"/>
      <c r="V16" s="772"/>
      <c r="W16" s="773"/>
      <c r="X16" s="1810"/>
      <c r="Y16" s="3173"/>
      <c r="Z16" s="1811"/>
      <c r="AA16" s="1808">
        <v>1</v>
      </c>
      <c r="AB16" s="1808">
        <v>1</v>
      </c>
      <c r="AC16" s="1808">
        <v>1</v>
      </c>
    </row>
    <row r="17" spans="1:29" ht="85.5">
      <c r="A17" s="427"/>
      <c r="B17" s="630" t="s">
        <v>2707</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173"/>
      <c r="Q17" s="1807" t="str">
        <f>B17</f>
        <v>交通便捷度</v>
      </c>
      <c r="R17" s="772" t="s">
        <v>17</v>
      </c>
      <c r="S17" s="773">
        <f>F17</f>
        <v>100</v>
      </c>
      <c r="T17" s="772" t="s">
        <v>17</v>
      </c>
      <c r="U17" s="773">
        <f>H17</f>
        <v>100</v>
      </c>
      <c r="V17" s="772" t="s">
        <v>17</v>
      </c>
      <c r="W17" s="773">
        <f>J17</f>
        <v>100</v>
      </c>
      <c r="X17" s="1810"/>
      <c r="Y17" s="3173"/>
      <c r="Z17" s="1811" t="str">
        <f>Q17</f>
        <v>交通便捷度</v>
      </c>
      <c r="AA17" s="1808">
        <f t="shared" si="3"/>
        <v>1</v>
      </c>
      <c r="AB17" s="1808">
        <f t="shared" si="4"/>
        <v>1</v>
      </c>
      <c r="AC17" s="1808">
        <f t="shared" si="5"/>
        <v>1</v>
      </c>
    </row>
    <row r="18" spans="1:29" ht="15">
      <c r="A18" s="427"/>
      <c r="B18" s="631"/>
      <c r="C18" s="446"/>
      <c r="D18" s="447"/>
      <c r="E18" s="2602"/>
      <c r="F18" s="447"/>
      <c r="G18" s="2602"/>
      <c r="H18" s="447"/>
      <c r="I18" s="2601"/>
      <c r="J18" s="447"/>
      <c r="K18" s="671"/>
      <c r="L18" s="1137"/>
      <c r="M18" s="1128"/>
      <c r="N18" s="1128"/>
      <c r="O18" s="1136"/>
      <c r="P18" s="3173"/>
      <c r="Q18" s="1807"/>
      <c r="R18" s="772"/>
      <c r="S18" s="773"/>
      <c r="T18" s="772"/>
      <c r="U18" s="773"/>
      <c r="V18" s="772"/>
      <c r="W18" s="773"/>
      <c r="X18" s="1810"/>
      <c r="Y18" s="3173"/>
      <c r="Z18" s="1811"/>
      <c r="AA18" s="1808">
        <v>1</v>
      </c>
      <c r="AB18" s="1808">
        <v>1</v>
      </c>
      <c r="AC18" s="1808">
        <v>1</v>
      </c>
    </row>
    <row r="19" spans="1:29" ht="15">
      <c r="A19" s="427"/>
      <c r="B19" s="630" t="s">
        <v>2746</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173"/>
      <c r="Q19" s="1807" t="str">
        <f t="shared" ref="Q19:Q33" si="8">B19</f>
        <v>区域土地利用方向</v>
      </c>
      <c r="R19" s="772" t="s">
        <v>17</v>
      </c>
      <c r="S19" s="773">
        <f>F19</f>
        <v>100</v>
      </c>
      <c r="T19" s="772" t="s">
        <v>17</v>
      </c>
      <c r="U19" s="773">
        <f>H19</f>
        <v>100</v>
      </c>
      <c r="V19" s="772" t="s">
        <v>17</v>
      </c>
      <c r="W19" s="773">
        <f>J19</f>
        <v>100</v>
      </c>
      <c r="X19" s="1810"/>
      <c r="Y19" s="3173"/>
      <c r="Z19" s="1811" t="str">
        <f>Q19</f>
        <v>区域土地利用方向</v>
      </c>
      <c r="AA19" s="1808">
        <f t="shared" si="3"/>
        <v>1</v>
      </c>
      <c r="AB19" s="1808">
        <f t="shared" si="4"/>
        <v>1</v>
      </c>
      <c r="AC19" s="1808">
        <f t="shared" si="5"/>
        <v>1</v>
      </c>
    </row>
    <row r="20" spans="1:29" ht="15">
      <c r="A20" s="403"/>
      <c r="B20" s="631"/>
      <c r="C20" s="446"/>
      <c r="D20" s="447"/>
      <c r="E20" s="2602"/>
      <c r="F20" s="447"/>
      <c r="G20" s="2602"/>
      <c r="H20" s="447"/>
      <c r="I20" s="2602"/>
      <c r="J20" s="447"/>
      <c r="K20" s="810"/>
      <c r="L20" s="1137"/>
      <c r="M20" s="1128"/>
      <c r="N20" s="1128"/>
      <c r="O20" s="1136"/>
      <c r="P20" s="3173"/>
      <c r="Q20" s="1807"/>
      <c r="R20" s="772"/>
      <c r="S20" s="773"/>
      <c r="T20" s="772"/>
      <c r="U20" s="773"/>
      <c r="V20" s="772"/>
      <c r="W20" s="773"/>
      <c r="X20" s="1810"/>
      <c r="Y20" s="3173"/>
      <c r="Z20" s="1811"/>
      <c r="AA20" s="1808"/>
      <c r="AB20" s="1808"/>
      <c r="AC20" s="1808"/>
    </row>
    <row r="21" spans="1:29" ht="71.25">
      <c r="A21" s="403"/>
      <c r="B21" s="630" t="s">
        <v>2796</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173"/>
      <c r="Q21" s="1807" t="str">
        <f t="shared" si="8"/>
        <v>环境状况</v>
      </c>
      <c r="R21" s="772" t="s">
        <v>17</v>
      </c>
      <c r="S21" s="773">
        <f>F21</f>
        <v>100</v>
      </c>
      <c r="T21" s="772" t="s">
        <v>17</v>
      </c>
      <c r="U21" s="773">
        <f>H21</f>
        <v>100</v>
      </c>
      <c r="V21" s="772" t="s">
        <v>17</v>
      </c>
      <c r="W21" s="773">
        <f>J21</f>
        <v>100</v>
      </c>
      <c r="X21" s="1810"/>
      <c r="Y21" s="3173"/>
      <c r="Z21" s="1811" t="str">
        <f>Q21</f>
        <v>环境状况</v>
      </c>
      <c r="AA21" s="1808">
        <f t="shared" si="3"/>
        <v>1</v>
      </c>
      <c r="AB21" s="1808">
        <f t="shared" si="4"/>
        <v>1</v>
      </c>
      <c r="AC21" s="1808">
        <f t="shared" si="5"/>
        <v>1</v>
      </c>
    </row>
    <row r="22" spans="1:29" ht="15">
      <c r="A22" s="403"/>
      <c r="B22" s="631"/>
      <c r="C22" s="446"/>
      <c r="D22" s="447"/>
      <c r="E22" s="2608"/>
      <c r="F22" s="447"/>
      <c r="G22" s="2608"/>
      <c r="H22" s="447"/>
      <c r="I22" s="446"/>
      <c r="J22" s="447"/>
      <c r="K22" s="671"/>
      <c r="L22" s="1137"/>
      <c r="M22" s="1128"/>
      <c r="N22" s="1128"/>
      <c r="O22" s="1136"/>
      <c r="P22" s="3173"/>
      <c r="Q22" s="1807"/>
      <c r="R22" s="772"/>
      <c r="S22" s="773"/>
      <c r="T22" s="772"/>
      <c r="U22" s="773"/>
      <c r="V22" s="772"/>
      <c r="W22" s="773"/>
      <c r="X22" s="1810"/>
      <c r="Y22" s="3173"/>
      <c r="Z22" s="1811"/>
      <c r="AA22" s="1808">
        <v>1</v>
      </c>
      <c r="AB22" s="1808">
        <v>1</v>
      </c>
      <c r="AC22" s="1808">
        <v>1</v>
      </c>
    </row>
    <row r="23" spans="1:29" s="117" customFormat="1" ht="42.75">
      <c r="A23" s="648"/>
      <c r="B23" s="632" t="s">
        <v>2652</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173"/>
      <c r="Q23" s="1792" t="str">
        <f t="shared" si="8"/>
        <v>公共配套设施</v>
      </c>
      <c r="R23" s="768" t="s">
        <v>17</v>
      </c>
      <c r="S23" s="769">
        <f>F23</f>
        <v>100</v>
      </c>
      <c r="T23" s="768" t="s">
        <v>17</v>
      </c>
      <c r="U23" s="769">
        <f>H23</f>
        <v>100</v>
      </c>
      <c r="V23" s="768" t="s">
        <v>17</v>
      </c>
      <c r="W23" s="769">
        <f>J23</f>
        <v>100</v>
      </c>
      <c r="X23" s="770"/>
      <c r="Y23" s="3173"/>
      <c r="Z23" s="55" t="str">
        <f>Q23</f>
        <v>公共配套设施</v>
      </c>
      <c r="AA23" s="1808">
        <f>D23/F23</f>
        <v>1</v>
      </c>
      <c r="AB23" s="1808">
        <f>D23/H23</f>
        <v>1</v>
      </c>
      <c r="AC23" s="1808">
        <f>D23/J23</f>
        <v>1</v>
      </c>
    </row>
    <row r="24" spans="1:29" s="117" customFormat="1" ht="15">
      <c r="A24" s="648"/>
      <c r="B24" s="631"/>
      <c r="C24" s="2697"/>
      <c r="D24" s="447"/>
      <c r="E24" s="2608"/>
      <c r="F24" s="447"/>
      <c r="G24" s="2608"/>
      <c r="H24" s="447"/>
      <c r="I24" s="446"/>
      <c r="J24" s="447"/>
      <c r="K24" s="671"/>
      <c r="L24" s="1129"/>
      <c r="M24" s="1130"/>
      <c r="N24" s="1130"/>
      <c r="O24" s="1131"/>
      <c r="P24" s="3173"/>
      <c r="Q24" s="1792"/>
      <c r="R24" s="768"/>
      <c r="S24" s="769"/>
      <c r="T24" s="768"/>
      <c r="U24" s="769"/>
      <c r="V24" s="768"/>
      <c r="W24" s="769"/>
      <c r="X24" s="770"/>
      <c r="Y24" s="3173"/>
      <c r="Z24" s="55"/>
      <c r="AA24" s="771">
        <v>1</v>
      </c>
      <c r="AB24" s="771">
        <v>1</v>
      </c>
      <c r="AC24" s="771">
        <v>1</v>
      </c>
    </row>
    <row r="25" spans="1:29" s="117" customFormat="1" ht="28.5">
      <c r="A25" s="648"/>
      <c r="B25" s="632" t="s">
        <v>2653</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173"/>
      <c r="Q25" s="1792" t="str">
        <f t="shared" ref="Q25" si="9">B25</f>
        <v>基础设施水平</v>
      </c>
      <c r="R25" s="768" t="s">
        <v>17</v>
      </c>
      <c r="S25" s="769">
        <f>F25</f>
        <v>100</v>
      </c>
      <c r="T25" s="768" t="s">
        <v>17</v>
      </c>
      <c r="U25" s="769">
        <f>H25</f>
        <v>100</v>
      </c>
      <c r="V25" s="768" t="s">
        <v>17</v>
      </c>
      <c r="W25" s="769">
        <f>J25</f>
        <v>100</v>
      </c>
      <c r="X25" s="770"/>
      <c r="Y25" s="3173"/>
      <c r="Z25" s="55" t="str">
        <f>Q25</f>
        <v>基础设施水平</v>
      </c>
      <c r="AA25" s="1808">
        <f>D25/F25</f>
        <v>1</v>
      </c>
      <c r="AB25" s="1808">
        <f>D25/H25</f>
        <v>1</v>
      </c>
      <c r="AC25" s="1808">
        <f>D25/J25</f>
        <v>1</v>
      </c>
    </row>
    <row r="26" spans="1:29" s="117" customFormat="1" ht="15">
      <c r="A26" s="648"/>
      <c r="B26" s="631"/>
      <c r="C26" s="2697"/>
      <c r="D26" s="447"/>
      <c r="E26" s="2698"/>
      <c r="F26" s="447"/>
      <c r="G26" s="2698"/>
      <c r="H26" s="447"/>
      <c r="I26" s="2698"/>
      <c r="J26" s="447"/>
      <c r="K26" s="671"/>
      <c r="L26" s="1129"/>
      <c r="M26" s="1130"/>
      <c r="N26" s="1130"/>
      <c r="O26" s="1131"/>
      <c r="P26" s="3173"/>
      <c r="Q26" s="1792"/>
      <c r="R26" s="768"/>
      <c r="S26" s="769"/>
      <c r="T26" s="768"/>
      <c r="U26" s="769"/>
      <c r="V26" s="768"/>
      <c r="W26" s="769"/>
      <c r="X26" s="770"/>
      <c r="Y26" s="3173"/>
      <c r="Z26" s="55"/>
      <c r="AA26" s="771">
        <v>1</v>
      </c>
      <c r="AB26" s="771">
        <v>1</v>
      </c>
      <c r="AC26" s="771">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173"/>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73"/>
      <c r="Z27" s="1811" t="str">
        <f t="shared" ref="Z27:Z40" si="13">Q27</f>
        <v>临街状况</v>
      </c>
      <c r="AA27" s="1808">
        <f t="shared" si="3"/>
        <v>1</v>
      </c>
      <c r="AB27" s="1808">
        <f t="shared" si="4"/>
        <v>1</v>
      </c>
      <c r="AC27" s="1808">
        <f t="shared" si="5"/>
        <v>1</v>
      </c>
    </row>
    <row r="28" spans="1:29" ht="27">
      <c r="A28" s="427"/>
      <c r="B28" s="632" t="s">
        <v>2689</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173"/>
      <c r="Q28" s="1807" t="str">
        <f t="shared" si="8"/>
        <v>毗邻道路的类型与等级</v>
      </c>
      <c r="R28" s="772" t="s">
        <v>17</v>
      </c>
      <c r="S28" s="773">
        <f t="shared" si="10"/>
        <v>100</v>
      </c>
      <c r="T28" s="772" t="s">
        <v>17</v>
      </c>
      <c r="U28" s="773">
        <f t="shared" si="11"/>
        <v>100</v>
      </c>
      <c r="V28" s="772" t="s">
        <v>17</v>
      </c>
      <c r="W28" s="773">
        <f t="shared" si="12"/>
        <v>100</v>
      </c>
      <c r="X28" s="1810"/>
      <c r="Y28" s="3173"/>
      <c r="Z28" s="1811" t="str">
        <f t="shared" si="13"/>
        <v>毗邻道路的类型与等级</v>
      </c>
      <c r="AA28" s="1808">
        <f t="shared" si="3"/>
        <v>1</v>
      </c>
      <c r="AB28" s="1808">
        <f t="shared" si="4"/>
        <v>1</v>
      </c>
      <c r="AC28" s="1808">
        <f t="shared" si="5"/>
        <v>1</v>
      </c>
    </row>
    <row r="29" spans="1:29" ht="15">
      <c r="A29" s="427"/>
      <c r="B29" s="631"/>
      <c r="C29" s="446"/>
      <c r="D29" s="447"/>
      <c r="E29" s="2608"/>
      <c r="F29" s="447"/>
      <c r="G29" s="2608"/>
      <c r="H29" s="447"/>
      <c r="I29" s="2608"/>
      <c r="J29" s="447"/>
      <c r="K29" s="612"/>
      <c r="L29" s="1137"/>
      <c r="M29" s="1128"/>
      <c r="N29" s="1128"/>
      <c r="O29" s="1136"/>
      <c r="P29" s="3173"/>
      <c r="Q29" s="1807"/>
      <c r="R29" s="772"/>
      <c r="S29" s="773"/>
      <c r="T29" s="772"/>
      <c r="U29" s="773"/>
      <c r="V29" s="772"/>
      <c r="W29" s="773"/>
      <c r="X29" s="1810"/>
      <c r="Y29" s="3173"/>
      <c r="Z29" s="1811"/>
      <c r="AA29" s="1808">
        <v>1</v>
      </c>
      <c r="AB29" s="1808">
        <v>1</v>
      </c>
      <c r="AC29" s="1808">
        <v>1</v>
      </c>
    </row>
    <row r="30" spans="1:29" ht="15">
      <c r="A30" s="427"/>
      <c r="B30" s="653" t="s">
        <v>2748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173"/>
      <c r="Q30" s="1807" t="str">
        <f t="shared" si="8"/>
        <v>土地级别</v>
      </c>
      <c r="R30" s="772" t="s">
        <v>17</v>
      </c>
      <c r="S30" s="773">
        <f t="shared" si="10"/>
        <v>100</v>
      </c>
      <c r="T30" s="772" t="s">
        <v>17</v>
      </c>
      <c r="U30" s="773">
        <f t="shared" si="11"/>
        <v>100</v>
      </c>
      <c r="V30" s="772" t="s">
        <v>17</v>
      </c>
      <c r="W30" s="773">
        <f t="shared" si="12"/>
        <v>100</v>
      </c>
      <c r="X30" s="1810"/>
      <c r="Y30" s="3173"/>
      <c r="Z30" s="1811" t="str">
        <f t="shared" si="13"/>
        <v>土地级别</v>
      </c>
      <c r="AA30" s="1808">
        <f t="shared" si="3"/>
        <v>1</v>
      </c>
      <c r="AB30" s="1808">
        <f t="shared" si="4"/>
        <v>1</v>
      </c>
      <c r="AC30" s="1808">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173"/>
      <c r="Q31" s="1807">
        <f t="shared" si="8"/>
        <v>111</v>
      </c>
      <c r="R31" s="772" t="s">
        <v>17</v>
      </c>
      <c r="S31" s="773">
        <f t="shared" si="10"/>
        <v>100</v>
      </c>
      <c r="T31" s="772" t="s">
        <v>17</v>
      </c>
      <c r="U31" s="773">
        <f t="shared" si="11"/>
        <v>100</v>
      </c>
      <c r="V31" s="772" t="s">
        <v>17</v>
      </c>
      <c r="W31" s="773">
        <f t="shared" si="12"/>
        <v>100</v>
      </c>
      <c r="X31" s="1810"/>
      <c r="Y31" s="3173"/>
      <c r="Z31" s="1811">
        <f t="shared" si="13"/>
        <v>111</v>
      </c>
      <c r="AA31" s="1808">
        <f t="shared" si="3"/>
        <v>1</v>
      </c>
      <c r="AB31" s="1808">
        <f t="shared" si="4"/>
        <v>1</v>
      </c>
      <c r="AC31" s="1808">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174" t="s">
        <v>2563</v>
      </c>
      <c r="Q32" s="1807">
        <f t="shared" si="8"/>
        <v>111</v>
      </c>
      <c r="R32" s="772" t="s">
        <v>17</v>
      </c>
      <c r="S32" s="773">
        <f t="shared" si="10"/>
        <v>100</v>
      </c>
      <c r="T32" s="772" t="s">
        <v>17</v>
      </c>
      <c r="U32" s="773">
        <f t="shared" si="11"/>
        <v>100</v>
      </c>
      <c r="V32" s="772" t="s">
        <v>17</v>
      </c>
      <c r="W32" s="773">
        <f t="shared" si="12"/>
        <v>100</v>
      </c>
      <c r="X32" s="1810"/>
      <c r="Y32" s="3175" t="s">
        <v>2563</v>
      </c>
      <c r="Z32" s="1811">
        <f t="shared" si="13"/>
        <v>111</v>
      </c>
      <c r="AA32" s="1808">
        <f t="shared" si="3"/>
        <v>1</v>
      </c>
      <c r="AB32" s="1808">
        <f t="shared" si="4"/>
        <v>1</v>
      </c>
      <c r="AC32" s="1808">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175"/>
      <c r="Q33" s="1807">
        <f t="shared" si="8"/>
        <v>111</v>
      </c>
      <c r="R33" s="775" t="s">
        <v>17</v>
      </c>
      <c r="S33" s="776">
        <f t="shared" si="10"/>
        <v>100</v>
      </c>
      <c r="T33" s="775" t="s">
        <v>17</v>
      </c>
      <c r="U33" s="776">
        <f t="shared" si="11"/>
        <v>100</v>
      </c>
      <c r="V33" s="775" t="s">
        <v>17</v>
      </c>
      <c r="W33" s="776">
        <f t="shared" si="12"/>
        <v>100</v>
      </c>
      <c r="X33" s="777"/>
      <c r="Y33" s="3175"/>
      <c r="Z33" s="778">
        <f t="shared" si="13"/>
        <v>111</v>
      </c>
      <c r="AA33" s="1808">
        <f t="shared" si="3"/>
        <v>1</v>
      </c>
      <c r="AB33" s="1808">
        <f t="shared" si="4"/>
        <v>1</v>
      </c>
      <c r="AC33" s="1808">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175"/>
      <c r="Q34" s="1807" t="str">
        <f>B34</f>
        <v>宗地面积</v>
      </c>
      <c r="R34" s="772" t="s">
        <v>17</v>
      </c>
      <c r="S34" s="773" t="e">
        <f t="shared" si="10"/>
        <v>#N/A</v>
      </c>
      <c r="T34" s="772" t="s">
        <v>17</v>
      </c>
      <c r="U34" s="773" t="e">
        <f t="shared" si="11"/>
        <v>#N/A</v>
      </c>
      <c r="V34" s="772" t="s">
        <v>17</v>
      </c>
      <c r="W34" s="773" t="e">
        <f t="shared" si="12"/>
        <v>#N/A</v>
      </c>
      <c r="X34" s="1810"/>
      <c r="Y34" s="3175"/>
      <c r="Z34" s="1811" t="str">
        <f t="shared" si="13"/>
        <v>宗地面积</v>
      </c>
      <c r="AA34" s="1808" t="e">
        <f t="shared" si="3"/>
        <v>#N/A</v>
      </c>
      <c r="AB34" s="1808" t="e">
        <f t="shared" si="4"/>
        <v>#N/A</v>
      </c>
      <c r="AC34" s="1808" t="e">
        <f t="shared" si="5"/>
        <v>#N/A</v>
      </c>
    </row>
    <row r="35" spans="1:29" ht="15">
      <c r="A35" s="471"/>
      <c r="B35" s="421" t="s">
        <v>2750</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7"/>
      <c r="M35" s="1128"/>
      <c r="N35" s="1128"/>
      <c r="O35" s="1136"/>
      <c r="P35" s="3175"/>
      <c r="Q35" s="1807" t="str">
        <f t="shared" ref="Q35:Q40" si="14">B35</f>
        <v>宗地形状</v>
      </c>
      <c r="R35" s="772" t="s">
        <v>17</v>
      </c>
      <c r="S35" s="773">
        <f t="shared" si="10"/>
        <v>100</v>
      </c>
      <c r="T35" s="772" t="s">
        <v>17</v>
      </c>
      <c r="U35" s="773">
        <f t="shared" si="11"/>
        <v>100</v>
      </c>
      <c r="V35" s="772" t="s">
        <v>17</v>
      </c>
      <c r="W35" s="773">
        <f t="shared" si="12"/>
        <v>100</v>
      </c>
      <c r="X35" s="1810"/>
      <c r="Y35" s="3175"/>
      <c r="Z35" s="1811" t="str">
        <f t="shared" si="13"/>
        <v>宗地形状</v>
      </c>
      <c r="AA35" s="1808">
        <f t="shared" si="3"/>
        <v>1</v>
      </c>
      <c r="AB35" s="1808">
        <f t="shared" si="4"/>
        <v>1</v>
      </c>
      <c r="AC35" s="1808">
        <f t="shared" si="5"/>
        <v>1</v>
      </c>
    </row>
    <row r="36" spans="1:29" s="117" customFormat="1" ht="15">
      <c r="A36" s="472"/>
      <c r="B36" s="421" t="s">
        <v>2752</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29"/>
      <c r="M36" s="1130"/>
      <c r="N36" s="1130"/>
      <c r="O36" s="1131"/>
      <c r="P36" s="3175"/>
      <c r="Q36" s="1807" t="str">
        <f t="shared" si="14"/>
        <v>宗地开发程度</v>
      </c>
      <c r="R36" s="768" t="s">
        <v>17</v>
      </c>
      <c r="S36" s="769">
        <f t="shared" si="10"/>
        <v>100</v>
      </c>
      <c r="T36" s="768" t="s">
        <v>17</v>
      </c>
      <c r="U36" s="769">
        <f t="shared" si="11"/>
        <v>100</v>
      </c>
      <c r="V36" s="768" t="s">
        <v>17</v>
      </c>
      <c r="W36" s="769">
        <f t="shared" si="12"/>
        <v>100</v>
      </c>
      <c r="X36" s="770"/>
      <c r="Y36" s="3175"/>
      <c r="Z36" s="55" t="str">
        <f t="shared" si="13"/>
        <v>宗地开发程度</v>
      </c>
      <c r="AA36" s="771">
        <f t="shared" si="3"/>
        <v>1</v>
      </c>
      <c r="AB36" s="771">
        <f t="shared" si="4"/>
        <v>1</v>
      </c>
      <c r="AC36" s="771">
        <f t="shared" si="5"/>
        <v>1</v>
      </c>
    </row>
    <row r="37" spans="1:29" ht="15">
      <c r="A37" s="471"/>
      <c r="B37" s="421" t="s">
        <v>2753</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7"/>
      <c r="M37" s="1128"/>
      <c r="N37" s="1128"/>
      <c r="O37" s="1136"/>
      <c r="P37" s="3175" t="s">
        <v>2563</v>
      </c>
      <c r="Q37" s="1807" t="str">
        <f t="shared" si="14"/>
        <v>工程地质条件</v>
      </c>
      <c r="R37" s="772" t="s">
        <v>17</v>
      </c>
      <c r="S37" s="773">
        <f t="shared" si="10"/>
        <v>100</v>
      </c>
      <c r="T37" s="772" t="s">
        <v>17</v>
      </c>
      <c r="U37" s="773">
        <f t="shared" si="11"/>
        <v>100</v>
      </c>
      <c r="V37" s="772" t="s">
        <v>17</v>
      </c>
      <c r="W37" s="773">
        <f t="shared" si="12"/>
        <v>100</v>
      </c>
      <c r="X37" s="1810"/>
      <c r="Y37" s="3175" t="s">
        <v>2563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175"/>
      <c r="Q38" s="1807">
        <f t="shared" si="14"/>
        <v>111</v>
      </c>
      <c r="R38" s="772" t="s">
        <v>17</v>
      </c>
      <c r="S38" s="773">
        <f t="shared" si="10"/>
        <v>100</v>
      </c>
      <c r="T38" s="772" t="s">
        <v>17</v>
      </c>
      <c r="U38" s="773">
        <f t="shared" si="11"/>
        <v>100</v>
      </c>
      <c r="V38" s="772" t="s">
        <v>17</v>
      </c>
      <c r="W38" s="773">
        <f t="shared" si="12"/>
        <v>100</v>
      </c>
      <c r="X38" s="1810"/>
      <c r="Y38" s="317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175"/>
      <c r="Q39" s="1807">
        <f t="shared" si="14"/>
        <v>111</v>
      </c>
      <c r="R39" s="772" t="s">
        <v>17</v>
      </c>
      <c r="S39" s="773">
        <f t="shared" si="10"/>
        <v>100</v>
      </c>
      <c r="T39" s="772" t="s">
        <v>17</v>
      </c>
      <c r="U39" s="773">
        <f t="shared" si="11"/>
        <v>100</v>
      </c>
      <c r="V39" s="772" t="s">
        <v>17</v>
      </c>
      <c r="W39" s="773">
        <f t="shared" si="12"/>
        <v>100</v>
      </c>
      <c r="X39" s="1810"/>
      <c r="Y39" s="3175"/>
      <c r="Z39" s="1811">
        <f t="shared" si="13"/>
        <v>111</v>
      </c>
      <c r="AA39" s="1808">
        <f t="shared" si="3"/>
        <v>1</v>
      </c>
      <c r="AB39" s="1808">
        <f t="shared" si="4"/>
        <v>1</v>
      </c>
      <c r="AC39" s="1808">
        <f t="shared" si="5"/>
        <v>1</v>
      </c>
    </row>
    <row r="40" spans="1:29" s="470" customFormat="1" ht="15.75" thickBot="1">
      <c r="A40" s="467"/>
      <c r="B40" s="1384">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175"/>
      <c r="Q40" s="1807">
        <f t="shared" si="14"/>
        <v>111</v>
      </c>
      <c r="R40" s="775" t="s">
        <v>17</v>
      </c>
      <c r="S40" s="776">
        <f t="shared" si="10"/>
        <v>100</v>
      </c>
      <c r="T40" s="775" t="s">
        <v>17</v>
      </c>
      <c r="U40" s="776">
        <f t="shared" si="11"/>
        <v>100</v>
      </c>
      <c r="V40" s="775" t="s">
        <v>17</v>
      </c>
      <c r="W40" s="776">
        <f t="shared" si="12"/>
        <v>100</v>
      </c>
      <c r="X40" s="777"/>
      <c r="Y40" s="3175"/>
      <c r="Z40" s="778">
        <f t="shared" si="13"/>
        <v>111</v>
      </c>
      <c r="AA40" s="1808">
        <f t="shared" si="3"/>
        <v>1</v>
      </c>
      <c r="AB40" s="1808">
        <f t="shared" si="4"/>
        <v>1</v>
      </c>
      <c r="AC40" s="1808">
        <f t="shared" si="5"/>
        <v>1</v>
      </c>
    </row>
    <row r="41" spans="1:29" ht="15">
      <c r="A41" s="478" t="s">
        <v>2718</v>
      </c>
      <c r="B41" s="2701" t="s">
        <v>2797</v>
      </c>
      <c r="C41" s="681" t="s">
        <v>1</v>
      </c>
      <c r="D41" s="480"/>
      <c r="E41" s="481"/>
      <c r="F41" s="482"/>
      <c r="G41" s="483"/>
      <c r="H41" s="484"/>
      <c r="I41" s="481"/>
      <c r="J41" s="484"/>
      <c r="K41" s="781"/>
      <c r="L41" s="1140"/>
      <c r="M41" s="1128"/>
      <c r="N41" s="1128"/>
      <c r="O41" s="1141"/>
      <c r="P41" s="3170" t="str">
        <f>A41</f>
        <v>成交单价</v>
      </c>
      <c r="Q41" s="3170"/>
      <c r="R41" s="3176">
        <f>E41</f>
        <v>0</v>
      </c>
      <c r="S41" s="3176"/>
      <c r="T41" s="3176">
        <f>G41</f>
        <v>0</v>
      </c>
      <c r="U41" s="3176"/>
      <c r="V41" s="3176">
        <f>I41</f>
        <v>0</v>
      </c>
      <c r="W41" s="3176"/>
      <c r="X41" s="757"/>
      <c r="Y41" s="779"/>
      <c r="Z41" s="757"/>
      <c r="AA41" s="757"/>
      <c r="AB41" s="757"/>
      <c r="AC41" s="757"/>
    </row>
    <row r="42" spans="1:29" ht="15.75" thickBot="1">
      <c r="A42" s="485" t="s">
        <v>2667</v>
      </c>
      <c r="B42" s="682"/>
      <c r="C42" s="489" t="e">
        <f>R43</f>
        <v>#DIV/0!</v>
      </c>
      <c r="D42" s="488"/>
      <c r="E42" s="489" t="e">
        <f>R42</f>
        <v>#DIV/0!</v>
      </c>
      <c r="F42" s="490"/>
      <c r="G42" s="487" t="e">
        <f>T42</f>
        <v>#DIV/0!</v>
      </c>
      <c r="H42" s="488"/>
      <c r="I42" s="489" t="e">
        <f>V42</f>
        <v>#DIV/0!</v>
      </c>
      <c r="J42" s="488"/>
      <c r="K42" s="782"/>
      <c r="L42" s="1140"/>
      <c r="M42" s="1128"/>
      <c r="N42" s="1128"/>
      <c r="O42" s="1141"/>
      <c r="P42" s="3170" t="str">
        <f>A42</f>
        <v>比较价值（元/平方米）</v>
      </c>
      <c r="Q42" s="3170"/>
      <c r="R42" s="3163" t="e">
        <f>ROUND(PRODUCT(R41,AA7:AA40),0)</f>
        <v>#DIV/0!</v>
      </c>
      <c r="S42" s="3163"/>
      <c r="T42" s="3163" t="e">
        <f>ROUND(PRODUCT(T41,AB7:AB40),0)</f>
        <v>#DIV/0!</v>
      </c>
      <c r="U42" s="3163"/>
      <c r="V42" s="3163" t="e">
        <f>ROUND(PRODUCT(V41,AC7:AC40),0)</f>
        <v>#DIV/0!</v>
      </c>
      <c r="W42" s="3163"/>
      <c r="X42" s="757"/>
      <c r="Y42" s="757"/>
      <c r="Z42" s="757"/>
      <c r="AA42" s="757"/>
      <c r="AB42" s="757"/>
      <c r="AC42" s="757"/>
    </row>
    <row r="43" spans="1:29" ht="15.75" thickBot="1">
      <c r="A43" s="491" t="s">
        <v>2668</v>
      </c>
      <c r="B43" s="492"/>
      <c r="C43" s="493" t="e">
        <f>R43</f>
        <v>#DIV/0!</v>
      </c>
      <c r="D43" s="493"/>
      <c r="E43" s="493"/>
      <c r="F43" s="493"/>
      <c r="G43" s="493"/>
      <c r="H43" s="493"/>
      <c r="I43" s="493"/>
      <c r="J43" s="493"/>
      <c r="K43" s="783"/>
      <c r="L43" s="1140"/>
      <c r="M43" s="1128"/>
      <c r="N43" s="1128"/>
      <c r="O43" s="1141"/>
      <c r="P43" s="3164" t="str">
        <f>A43</f>
        <v>估价对象XX用房的比较价值（楼面单价，元/平方米）</v>
      </c>
      <c r="Q43" s="3165"/>
      <c r="R43" s="3166" t="e">
        <f>ROUND(AVERAGE(R42:V42),0)</f>
        <v>#DIV/0!</v>
      </c>
      <c r="S43" s="3166"/>
      <c r="T43" s="3166"/>
      <c r="U43" s="3166"/>
      <c r="V43" s="3166"/>
      <c r="W43" s="3166"/>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0"/>
      <c r="D49" s="758"/>
      <c r="E49" s="758"/>
      <c r="F49" s="758"/>
      <c r="G49" s="758"/>
      <c r="H49" s="758"/>
      <c r="I49" s="758"/>
      <c r="J49" s="758"/>
      <c r="K49" s="1145"/>
      <c r="L49" s="1146"/>
      <c r="M49" s="1142"/>
      <c r="N49" s="1142"/>
      <c r="O49" s="1142"/>
    </row>
    <row r="50" spans="1:17" ht="27">
      <c r="A50" s="683" t="s">
        <v>2755</v>
      </c>
      <c r="B50" s="684" t="s">
        <v>2756</v>
      </c>
      <c r="C50" s="2702" t="s">
        <v>2757</v>
      </c>
      <c r="D50" s="2703" t="s">
        <v>2758</v>
      </c>
      <c r="E50" s="685" t="s">
        <v>2759</v>
      </c>
      <c r="F50" s="686" t="s">
        <v>2760</v>
      </c>
      <c r="G50" s="3167" t="s">
        <v>2761</v>
      </c>
      <c r="H50" s="3168"/>
      <c r="I50" s="1811" t="s">
        <v>2798</v>
      </c>
      <c r="J50" s="1811">
        <f>项目基本情况!F35</f>
        <v>0</v>
      </c>
      <c r="K50" s="2705" t="s">
        <v>2763</v>
      </c>
      <c r="L50" s="1103"/>
      <c r="M50" s="1141"/>
      <c r="N50" s="1141"/>
      <c r="O50" s="1141"/>
    </row>
    <row r="51" spans="1:17" s="691" customFormat="1">
      <c r="A51" s="687" t="s">
        <v>2764</v>
      </c>
      <c r="B51" s="688" t="e">
        <f>C43</f>
        <v>#DIV/0!</v>
      </c>
      <c r="C51" s="689">
        <v>1</v>
      </c>
      <c r="D51" s="1160">
        <v>1</v>
      </c>
      <c r="E51" s="689">
        <f>'数据-汇总表'!E8+'数据-汇总表'!E9</f>
        <v>37202.92</v>
      </c>
      <c r="F51" s="690" t="e">
        <f t="shared" ref="F51:F60" si="15">ROUND(B51*E51/10000,0)</f>
        <v>#DIV/0!</v>
      </c>
      <c r="G51" s="3169"/>
      <c r="H51" s="3170"/>
      <c r="I51" s="939">
        <v>1</v>
      </c>
      <c r="J51" s="939">
        <v>1</v>
      </c>
      <c r="K51" s="1142"/>
      <c r="L51" s="938"/>
      <c r="M51" s="938"/>
      <c r="N51" s="938"/>
      <c r="O51" s="938"/>
    </row>
    <row r="52" spans="1:17" s="691" customFormat="1">
      <c r="A52" s="692" t="s">
        <v>2765</v>
      </c>
      <c r="B52" s="261" t="e">
        <f>ROUND($C$43*C52*D52,0)</f>
        <v>#DIV/0!</v>
      </c>
      <c r="C52" s="199">
        <f t="shared" ref="C52:C60" si="16">IF($C$50="北京市系数",I52,J52)</f>
        <v>0.7</v>
      </c>
      <c r="D52" s="1161">
        <v>0.25</v>
      </c>
      <c r="E52" s="693"/>
      <c r="F52" s="690" t="e">
        <f t="shared" si="15"/>
        <v>#DIV/0!</v>
      </c>
      <c r="G52" s="3171" t="s">
        <v>2766</v>
      </c>
      <c r="H52" s="1101" t="str">
        <f>项目基本情况!B37</f>
        <v>六级</v>
      </c>
      <c r="I52" s="939">
        <f>SUMIF(修正!A45:A56,H52,修正!B45:B56)</f>
        <v>0.7</v>
      </c>
      <c r="J52" s="940"/>
      <c r="K52" s="1141"/>
      <c r="L52" s="938"/>
      <c r="M52" s="938"/>
      <c r="N52" s="938"/>
      <c r="O52" s="938"/>
    </row>
    <row r="53" spans="1:17" s="691" customFormat="1">
      <c r="A53" s="692" t="s">
        <v>2767</v>
      </c>
      <c r="B53" s="261" t="e">
        <f t="shared" ref="B53:B60" si="17">ROUND($C$43*C53*D53,0)</f>
        <v>#DIV/0!</v>
      </c>
      <c r="C53" s="199">
        <f t="shared" si="16"/>
        <v>0.4</v>
      </c>
      <c r="D53" s="1161">
        <v>0.25</v>
      </c>
      <c r="E53" s="693"/>
      <c r="F53" s="690" t="e">
        <f t="shared" si="15"/>
        <v>#DIV/0!</v>
      </c>
      <c r="G53" s="3171"/>
      <c r="H53" s="1101" t="str">
        <f>项目基本情况!B37</f>
        <v>六级</v>
      </c>
      <c r="I53" s="939">
        <f>SUMIF(修正!A45:A56,H53,修正!C45:C56)</f>
        <v>0.4</v>
      </c>
      <c r="J53" s="940"/>
      <c r="K53" s="1142"/>
      <c r="L53" s="938"/>
      <c r="M53" s="938"/>
      <c r="N53" s="938"/>
      <c r="O53" s="938"/>
    </row>
    <row r="54" spans="1:17" s="691" customFormat="1">
      <c r="A54" s="692" t="s">
        <v>2768</v>
      </c>
      <c r="B54" s="261" t="e">
        <f t="shared" si="17"/>
        <v>#DIV/0!</v>
      </c>
      <c r="C54" s="199">
        <f t="shared" si="16"/>
        <v>0.28000000000000003</v>
      </c>
      <c r="D54" s="1161">
        <v>0.25</v>
      </c>
      <c r="E54" s="693"/>
      <c r="F54" s="690" t="e">
        <f t="shared" si="15"/>
        <v>#DIV/0!</v>
      </c>
      <c r="G54" s="3171"/>
      <c r="H54" s="1101" t="str">
        <f>项目基本情况!B37</f>
        <v>六级</v>
      </c>
      <c r="I54" s="939">
        <f>SUMIF(修正!A45:A56,H54,修正!D45:D56)</f>
        <v>0.28000000000000003</v>
      </c>
      <c r="J54" s="940"/>
      <c r="K54" s="1141"/>
      <c r="L54" s="938"/>
      <c r="M54" s="938"/>
      <c r="N54" s="938"/>
      <c r="O54" s="938"/>
    </row>
    <row r="55" spans="1:17" s="691" customFormat="1">
      <c r="A55" s="692" t="s">
        <v>2769</v>
      </c>
      <c r="B55" s="261" t="e">
        <f t="shared" si="17"/>
        <v>#DIV/0!</v>
      </c>
      <c r="C55" s="199">
        <f t="shared" si="16"/>
        <v>0.25</v>
      </c>
      <c r="D55" s="1161">
        <v>0.25</v>
      </c>
      <c r="E55" s="693"/>
      <c r="F55" s="690" t="e">
        <f t="shared" si="15"/>
        <v>#DIV/0!</v>
      </c>
      <c r="G55" s="3171"/>
      <c r="H55" s="1101" t="str">
        <f>项目基本情况!B37</f>
        <v>六级</v>
      </c>
      <c r="I55" s="939">
        <f>SUMIF(修正!A45:A56,H55,修正!E45:E56)</f>
        <v>0.25</v>
      </c>
      <c r="J55" s="940"/>
      <c r="K55" s="1142"/>
      <c r="L55" s="938"/>
      <c r="M55" s="938"/>
      <c r="N55" s="938"/>
      <c r="O55" s="938"/>
    </row>
    <row r="56" spans="1:17" s="691" customFormat="1">
      <c r="A56" s="692" t="s">
        <v>2770</v>
      </c>
      <c r="B56" s="261" t="e">
        <f t="shared" si="17"/>
        <v>#DIV/0!</v>
      </c>
      <c r="C56" s="199">
        <f t="shared" si="16"/>
        <v>0.25</v>
      </c>
      <c r="D56" s="1161">
        <v>0.25</v>
      </c>
      <c r="E56" s="260">
        <f>'数据-汇总表'!E11</f>
        <v>0</v>
      </c>
      <c r="F56" s="690" t="e">
        <f t="shared" si="15"/>
        <v>#DIV/0!</v>
      </c>
      <c r="G56" s="2706" t="s">
        <v>2771</v>
      </c>
      <c r="H56" s="1101" t="str">
        <f>项目基本情况!C37</f>
        <v>六级</v>
      </c>
      <c r="I56" s="939">
        <f>SUMIF(修正!A45:A56,H56,修正!F45:F56)</f>
        <v>0.25</v>
      </c>
      <c r="J56" s="940"/>
      <c r="K56" s="1141"/>
      <c r="L56" s="938"/>
      <c r="M56" s="938"/>
      <c r="N56" s="938"/>
      <c r="O56" s="938"/>
    </row>
    <row r="57" spans="1:17" s="691" customFormat="1">
      <c r="A57" s="692" t="s">
        <v>2772</v>
      </c>
      <c r="B57" s="261" t="e">
        <f t="shared" si="17"/>
        <v>#DIV/0!</v>
      </c>
      <c r="C57" s="199">
        <f t="shared" si="16"/>
        <v>0.25</v>
      </c>
      <c r="D57" s="1161">
        <v>0.25</v>
      </c>
      <c r="E57" s="260">
        <f>'数据-汇总表'!E12</f>
        <v>0</v>
      </c>
      <c r="F57" s="690" t="e">
        <f t="shared" si="15"/>
        <v>#DIV/0!</v>
      </c>
      <c r="G57" s="1106" t="s">
        <v>2773</v>
      </c>
      <c r="H57" s="1101" t="str">
        <f>IF(G57="商业",项目基本情况!B37,IF(G57="办公",项目基本情况!C37,IF(G57="住宅",项目基本情况!D37,项目基本情况!E37)))</f>
        <v>六级</v>
      </c>
      <c r="I57" s="939">
        <f>SUMIF(修正!A45:A56,H57,修正!G45:G56)</f>
        <v>0.25</v>
      </c>
      <c r="J57" s="940"/>
      <c r="K57" s="1142"/>
      <c r="L57" s="938"/>
      <c r="M57" s="938"/>
      <c r="N57" s="938"/>
      <c r="O57" s="938"/>
    </row>
    <row r="58" spans="1:17" s="691" customFormat="1">
      <c r="A58" s="692" t="s">
        <v>2774</v>
      </c>
      <c r="B58" s="261" t="e">
        <f t="shared" si="17"/>
        <v>#DIV/0!</v>
      </c>
      <c r="C58" s="199">
        <f t="shared" si="16"/>
        <v>0</v>
      </c>
      <c r="D58" s="1161">
        <v>0.25</v>
      </c>
      <c r="E58" s="260">
        <f>'数据-汇总表'!E13</f>
        <v>0</v>
      </c>
      <c r="F58" s="690" t="e">
        <f t="shared" si="15"/>
        <v>#DIV/0!</v>
      </c>
      <c r="G58" s="1106" t="s">
        <v>2775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2776</v>
      </c>
      <c r="B59" s="261" t="e">
        <f t="shared" si="17"/>
        <v>#DIV/0!</v>
      </c>
      <c r="C59" s="199">
        <f t="shared" si="16"/>
        <v>0.2</v>
      </c>
      <c r="D59" s="1161">
        <v>0.25</v>
      </c>
      <c r="E59" s="260">
        <f>'数据-汇总表'!E14</f>
        <v>0</v>
      </c>
      <c r="F59" s="690" t="e">
        <f t="shared" si="15"/>
        <v>#DIV/0!</v>
      </c>
      <c r="G59" s="2706" t="s">
        <v>2766</v>
      </c>
      <c r="H59" s="1101" t="str">
        <f>项目基本情况!B37</f>
        <v>六级</v>
      </c>
      <c r="I59" s="939">
        <f>SUMIF(修正!A45:A56,H59,修正!H45:H56)</f>
        <v>0.2</v>
      </c>
      <c r="J59" s="940"/>
      <c r="K59" s="1142"/>
      <c r="L59" s="938"/>
      <c r="M59" s="938"/>
      <c r="N59" s="938"/>
      <c r="O59" s="938"/>
    </row>
    <row r="60" spans="1:17" s="691" customFormat="1" ht="15" thickBot="1">
      <c r="A60" s="692" t="s">
        <v>2777</v>
      </c>
      <c r="B60" s="261" t="e">
        <f t="shared" si="17"/>
        <v>#DIV/0!</v>
      </c>
      <c r="C60" s="199">
        <f t="shared" si="16"/>
        <v>0.2</v>
      </c>
      <c r="D60" s="1161">
        <v>0.25</v>
      </c>
      <c r="E60" s="260">
        <f>'数据-汇总表'!E15</f>
        <v>0</v>
      </c>
      <c r="F60" s="690" t="e">
        <f t="shared" si="15"/>
        <v>#DIV/0!</v>
      </c>
      <c r="G60" s="2707" t="s">
        <v>2771</v>
      </c>
      <c r="H60" s="1111" t="str">
        <f>项目基本情况!C37</f>
        <v>六级</v>
      </c>
      <c r="I60" s="939">
        <f>SUMIF(修正!A45:A56,H60,修正!H45:H56)</f>
        <v>0.2</v>
      </c>
      <c r="J60" s="940"/>
      <c r="K60" s="1141"/>
      <c r="L60" s="938"/>
      <c r="M60" s="938"/>
      <c r="N60" s="938"/>
      <c r="O60" s="938"/>
    </row>
    <row r="61" spans="1:17" s="691" customFormat="1" ht="15" thickBot="1">
      <c r="A61" s="694" t="s">
        <v>2778</v>
      </c>
      <c r="B61" s="695" t="s">
        <v>28</v>
      </c>
      <c r="C61" s="695" t="s">
        <v>29</v>
      </c>
      <c r="D61" s="695" t="s">
        <v>1026</v>
      </c>
      <c r="E61" s="695">
        <f>IF(B41="楼面地价",SUM(E51:E60),'数据-汇总表'!D3)</f>
        <v>8969.4599999999991</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2019-5-1</v>
      </c>
      <c r="D63" s="759">
        <f>EDATE(C63,-3)</f>
        <v>43497</v>
      </c>
      <c r="E63" s="759">
        <f>EDATE(D63,-3)</f>
        <v>43405</v>
      </c>
      <c r="F63" s="759">
        <f t="shared" ref="F63:O63" si="18">EDATE(E63,-3)</f>
        <v>43313</v>
      </c>
      <c r="G63" s="759">
        <f t="shared" si="18"/>
        <v>43221</v>
      </c>
      <c r="H63" s="759">
        <f t="shared" si="18"/>
        <v>43132</v>
      </c>
      <c r="I63" s="759">
        <f t="shared" si="18"/>
        <v>43040</v>
      </c>
      <c r="J63" s="759">
        <f t="shared" si="18"/>
        <v>42948</v>
      </c>
      <c r="K63" s="759">
        <f t="shared" si="18"/>
        <v>42856</v>
      </c>
      <c r="L63" s="759">
        <f t="shared" si="18"/>
        <v>42767</v>
      </c>
      <c r="M63" s="759">
        <f t="shared" si="18"/>
        <v>42675</v>
      </c>
      <c r="N63" s="759">
        <f t="shared" si="18"/>
        <v>42583</v>
      </c>
      <c r="O63" s="759">
        <f t="shared" si="18"/>
        <v>42491</v>
      </c>
    </row>
    <row r="64" spans="1:17" ht="21.75" thickBot="1">
      <c r="A64" s="761" t="s">
        <v>2672</v>
      </c>
      <c r="B64" s="757"/>
      <c r="C64" s="762"/>
      <c r="D64" s="762"/>
      <c r="E64" s="762"/>
      <c r="F64" s="763"/>
      <c r="G64" s="763"/>
      <c r="H64" s="762"/>
      <c r="I64" s="762"/>
      <c r="J64" s="762"/>
      <c r="K64" s="764"/>
      <c r="L64" s="765"/>
      <c r="M64" s="762"/>
      <c r="N64" s="762"/>
      <c r="O64" s="1156"/>
      <c r="P64" s="502"/>
      <c r="Q64" s="503"/>
    </row>
    <row r="65" spans="1:17" s="507" customFormat="1" ht="15">
      <c r="A65" s="2708" t="s">
        <v>2779</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7" customFormat="1" ht="30.75" customHeight="1">
      <c r="A66" s="2713" t="s">
        <v>2799</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2586</v>
      </c>
      <c r="B70" s="527" t="s">
        <v>2552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2782</v>
      </c>
      <c r="C87" s="572" t="s">
        <v>2595</v>
      </c>
      <c r="D87" s="572" t="s">
        <v>2596</v>
      </c>
      <c r="E87" s="572" t="s">
        <v>2597</v>
      </c>
      <c r="F87" s="572" t="s">
        <v>2598</v>
      </c>
      <c r="G87" s="572" t="s">
        <v>2599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2783</v>
      </c>
      <c r="C89" s="572" t="s">
        <v>2595</v>
      </c>
      <c r="D89" s="572" t="s">
        <v>2596</v>
      </c>
      <c r="E89" s="572" t="s">
        <v>2597</v>
      </c>
      <c r="F89" s="572" t="s">
        <v>2598</v>
      </c>
      <c r="G89" s="572" t="s">
        <v>2599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2800</v>
      </c>
      <c r="C93" s="659" t="s">
        <v>2673</v>
      </c>
      <c r="D93" s="659" t="s">
        <v>2674</v>
      </c>
      <c r="E93" s="659" t="s">
        <v>2675</v>
      </c>
      <c r="F93" s="659" t="s">
        <v>2676</v>
      </c>
      <c r="G93" s="659" t="s">
        <v>2677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2561</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2789</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2791</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2792</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1" t="s">
        <v>183</v>
      </c>
      <c r="B18" s="880" t="s">
        <v>560</v>
      </c>
      <c r="C18" s="881" t="s">
        <v>561</v>
      </c>
      <c r="D18" s="882"/>
      <c r="E18" s="880">
        <v>1</v>
      </c>
      <c r="F18" s="883" t="s">
        <v>562</v>
      </c>
      <c r="G18" s="884"/>
      <c r="H18" s="876"/>
      <c r="I18" s="876"/>
    </row>
    <row r="19" spans="1:9" s="885" customFormat="1" ht="19.5" customHeight="1">
      <c r="A19" s="3281"/>
      <c r="B19" s="3281" t="s">
        <v>563</v>
      </c>
      <c r="C19" s="881" t="s">
        <v>564</v>
      </c>
      <c r="D19" s="882"/>
      <c r="E19" s="880">
        <v>0.9</v>
      </c>
      <c r="F19" s="883" t="s">
        <v>565</v>
      </c>
      <c r="G19" s="884"/>
      <c r="H19" s="876"/>
      <c r="I19" s="876"/>
    </row>
    <row r="20" spans="1:9" s="885" customFormat="1" ht="19.5" customHeight="1">
      <c r="A20" s="3281"/>
      <c r="B20" s="3281"/>
      <c r="C20" s="881" t="s">
        <v>566</v>
      </c>
      <c r="D20" s="882"/>
      <c r="E20" s="880">
        <v>1.1000000000000001</v>
      </c>
      <c r="F20" s="883" t="s">
        <v>567</v>
      </c>
      <c r="G20" s="884"/>
      <c r="H20" s="876"/>
      <c r="I20" s="876"/>
    </row>
    <row r="21" spans="1:9" s="885" customFormat="1" ht="19.5" customHeight="1">
      <c r="A21" s="3281"/>
      <c r="B21" s="3281"/>
      <c r="C21" s="881" t="s">
        <v>568</v>
      </c>
      <c r="D21" s="882"/>
      <c r="E21" s="880">
        <v>0.8</v>
      </c>
      <c r="F21" s="883" t="s">
        <v>569</v>
      </c>
      <c r="G21" s="884"/>
      <c r="H21" s="876"/>
      <c r="I21" s="876"/>
    </row>
    <row r="22" spans="1:9" s="885" customFormat="1" ht="19.5" customHeight="1">
      <c r="A22" s="3281"/>
      <c r="B22" s="3281"/>
      <c r="C22" s="881" t="s">
        <v>570</v>
      </c>
      <c r="D22" s="882"/>
      <c r="E22" s="880">
        <v>0.5</v>
      </c>
      <c r="F22" s="883"/>
      <c r="G22" s="884"/>
      <c r="H22" s="876"/>
      <c r="I22" s="876"/>
    </row>
    <row r="23" spans="1:9" s="885" customFormat="1" ht="19.5" customHeight="1">
      <c r="A23" s="3281" t="s">
        <v>184</v>
      </c>
      <c r="B23" s="880" t="s">
        <v>560</v>
      </c>
      <c r="C23" s="881" t="s">
        <v>571</v>
      </c>
      <c r="D23" s="882"/>
      <c r="E23" s="880">
        <v>1</v>
      </c>
      <c r="F23" s="883" t="s">
        <v>572</v>
      </c>
      <c r="G23" s="884"/>
      <c r="H23" s="876"/>
      <c r="I23" s="876"/>
    </row>
    <row r="24" spans="1:9" s="885" customFormat="1" ht="19.5" customHeight="1">
      <c r="A24" s="3281"/>
      <c r="B24" s="3281" t="s">
        <v>563</v>
      </c>
      <c r="C24" s="881" t="s">
        <v>573</v>
      </c>
      <c r="D24" s="882"/>
      <c r="E24" s="880">
        <v>0.5</v>
      </c>
      <c r="F24" s="883"/>
      <c r="G24" s="884"/>
      <c r="H24" s="876"/>
      <c r="I24" s="876"/>
    </row>
    <row r="25" spans="1:9" s="885" customFormat="1" ht="19.5" customHeight="1">
      <c r="A25" s="3281"/>
      <c r="B25" s="3281"/>
      <c r="C25" s="881" t="s">
        <v>574</v>
      </c>
      <c r="D25" s="882"/>
      <c r="E25" s="880">
        <v>1.1000000000000001</v>
      </c>
      <c r="F25" s="883"/>
      <c r="G25" s="884"/>
      <c r="H25" s="876"/>
      <c r="I25" s="876"/>
    </row>
    <row r="26" spans="1:9" s="885" customFormat="1" ht="19.5" customHeight="1">
      <c r="A26" s="3281"/>
      <c r="B26" s="3281"/>
      <c r="C26" s="881" t="s">
        <v>575</v>
      </c>
      <c r="D26" s="882"/>
      <c r="E26" s="880">
        <v>1.1000000000000001</v>
      </c>
      <c r="F26" s="883"/>
      <c r="G26" s="884"/>
      <c r="H26" s="876"/>
      <c r="I26" s="876"/>
    </row>
    <row r="27" spans="1:9" s="885" customFormat="1" ht="19.5" customHeight="1">
      <c r="A27" s="3281"/>
      <c r="B27" s="3281"/>
      <c r="C27" s="881" t="s">
        <v>576</v>
      </c>
      <c r="D27" s="882"/>
      <c r="E27" s="880">
        <v>0.9</v>
      </c>
      <c r="F27" s="883" t="s">
        <v>577</v>
      </c>
      <c r="G27" s="884"/>
      <c r="H27" s="876"/>
      <c r="I27" s="876"/>
    </row>
    <row r="28" spans="1:9" s="885" customFormat="1" ht="19.5" customHeight="1">
      <c r="A28" s="3281"/>
      <c r="B28" s="3281"/>
      <c r="C28" s="881" t="s">
        <v>578</v>
      </c>
      <c r="D28" s="882"/>
      <c r="E28" s="880">
        <v>0.9</v>
      </c>
      <c r="F28" s="883" t="s">
        <v>579</v>
      </c>
      <c r="G28" s="884"/>
      <c r="H28" s="876"/>
      <c r="I28" s="876"/>
    </row>
    <row r="29" spans="1:9" s="885" customFormat="1" ht="19.5" customHeight="1">
      <c r="A29" s="3281"/>
      <c r="B29" s="3281"/>
      <c r="C29" s="881" t="s">
        <v>580</v>
      </c>
      <c r="D29" s="882"/>
      <c r="E29" s="880">
        <v>0.9</v>
      </c>
      <c r="F29" s="883" t="s">
        <v>581</v>
      </c>
      <c r="G29" s="884"/>
      <c r="H29" s="876"/>
      <c r="I29" s="876"/>
    </row>
    <row r="30" spans="1:9" s="885" customFormat="1" ht="19.5" customHeight="1">
      <c r="A30" s="3281"/>
      <c r="B30" s="3281"/>
      <c r="C30" s="881" t="s">
        <v>582</v>
      </c>
      <c r="D30" s="882"/>
      <c r="E30" s="880">
        <v>0.9</v>
      </c>
      <c r="F30" s="883" t="s">
        <v>583</v>
      </c>
      <c r="G30" s="884"/>
      <c r="H30" s="876"/>
      <c r="I30" s="876"/>
    </row>
    <row r="31" spans="1:9" s="885" customFormat="1" ht="19.5" customHeight="1">
      <c r="A31" s="3281"/>
      <c r="B31" s="3281"/>
      <c r="C31" s="881" t="s">
        <v>584</v>
      </c>
      <c r="D31" s="882"/>
      <c r="E31" s="880">
        <v>0.8</v>
      </c>
      <c r="F31" s="883" t="s">
        <v>585</v>
      </c>
      <c r="G31" s="884"/>
      <c r="H31" s="876"/>
      <c r="I31" s="876"/>
    </row>
    <row r="32" spans="1:9" s="885" customFormat="1" ht="19.5" customHeight="1">
      <c r="A32" s="3281"/>
      <c r="B32" s="3281"/>
      <c r="C32" s="881" t="s">
        <v>586</v>
      </c>
      <c r="D32" s="882"/>
      <c r="E32" s="880">
        <v>0.8</v>
      </c>
      <c r="F32" s="883" t="s">
        <v>587</v>
      </c>
      <c r="G32" s="884"/>
      <c r="H32" s="876"/>
      <c r="I32" s="876"/>
    </row>
    <row r="33" spans="1:9" s="885" customFormat="1" ht="19.5" customHeight="1">
      <c r="A33" s="3281" t="s">
        <v>185</v>
      </c>
      <c r="B33" s="880" t="s">
        <v>560</v>
      </c>
      <c r="C33" s="881" t="s">
        <v>588</v>
      </c>
      <c r="D33" s="882"/>
      <c r="E33" s="880">
        <v>1</v>
      </c>
      <c r="F33" s="883" t="s">
        <v>589</v>
      </c>
      <c r="G33" s="884"/>
      <c r="H33" s="876"/>
      <c r="I33" s="876"/>
    </row>
    <row r="34" spans="1:9" s="885" customFormat="1" ht="19.5" customHeight="1">
      <c r="A34" s="3281"/>
      <c r="B34" s="880" t="s">
        <v>563</v>
      </c>
      <c r="C34" s="881" t="s">
        <v>590</v>
      </c>
      <c r="D34" s="882"/>
      <c r="E34" s="880">
        <v>1.5</v>
      </c>
      <c r="F34" s="883" t="s">
        <v>591</v>
      </c>
      <c r="G34" s="884"/>
      <c r="H34" s="876"/>
      <c r="I34" s="876"/>
    </row>
    <row r="35" spans="1:9" s="885" customFormat="1" ht="19.5" customHeight="1">
      <c r="A35" s="3281" t="s">
        <v>186</v>
      </c>
      <c r="B35" s="880" t="s">
        <v>560</v>
      </c>
      <c r="C35" s="881" t="s">
        <v>592</v>
      </c>
      <c r="D35" s="882"/>
      <c r="E35" s="880">
        <v>1</v>
      </c>
      <c r="F35" s="883" t="s">
        <v>593</v>
      </c>
      <c r="G35" s="884"/>
      <c r="H35" s="876"/>
      <c r="I35" s="876"/>
    </row>
    <row r="36" spans="1:9" s="885" customFormat="1" ht="19.5" customHeight="1">
      <c r="A36" s="3281"/>
      <c r="B36" s="3281" t="s">
        <v>563</v>
      </c>
      <c r="C36" s="881" t="s">
        <v>594</v>
      </c>
      <c r="D36" s="882"/>
      <c r="E36" s="880">
        <v>1</v>
      </c>
      <c r="F36" s="883" t="s">
        <v>595</v>
      </c>
      <c r="G36" s="884"/>
      <c r="H36" s="876"/>
      <c r="I36" s="876"/>
    </row>
    <row r="37" spans="1:9" s="885" customFormat="1" ht="19.5" customHeight="1">
      <c r="A37" s="3281"/>
      <c r="B37" s="3281"/>
      <c r="C37" s="881" t="s">
        <v>596</v>
      </c>
      <c r="D37" s="882"/>
      <c r="E37" s="880">
        <v>1.5</v>
      </c>
      <c r="F37" s="883" t="s">
        <v>597</v>
      </c>
      <c r="G37" s="884"/>
      <c r="H37" s="876"/>
      <c r="I37" s="876"/>
    </row>
    <row r="38" spans="1:9" s="885" customFormat="1" ht="19.5" customHeight="1">
      <c r="A38" s="3281"/>
      <c r="B38" s="3281"/>
      <c r="C38" s="881" t="s">
        <v>598</v>
      </c>
      <c r="D38" s="882"/>
      <c r="E38" s="880">
        <v>1</v>
      </c>
      <c r="F38" s="883" t="s">
        <v>599</v>
      </c>
      <c r="G38" s="884"/>
      <c r="H38" s="876"/>
      <c r="I38" s="876"/>
    </row>
    <row r="39" spans="1:9" s="885" customFormat="1" ht="19.5" customHeight="1">
      <c r="A39" s="3281"/>
      <c r="B39" s="328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7"/>
      <c r="B60" s="937"/>
      <c r="C60" s="937" t="s">
        <v>745</v>
      </c>
      <c r="D60" s="937"/>
      <c r="E60" s="893" t="s">
        <v>1</v>
      </c>
      <c r="F60" s="937" t="s">
        <v>1</v>
      </c>
    </row>
    <row r="61" spans="1:8" s="876" customFormat="1" ht="24">
      <c r="A61" s="880">
        <v>1</v>
      </c>
      <c r="B61" s="3281" t="s">
        <v>614</v>
      </c>
      <c r="C61" s="816" t="s">
        <v>615</v>
      </c>
      <c r="D61" s="816" t="s">
        <v>616</v>
      </c>
      <c r="E61" s="893">
        <v>0.5</v>
      </c>
      <c r="F61" s="880">
        <v>80</v>
      </c>
    </row>
    <row r="62" spans="1:8" s="876" customFormat="1" ht="24">
      <c r="A62" s="880">
        <v>2</v>
      </c>
      <c r="B62" s="3281"/>
      <c r="C62" s="816" t="s">
        <v>617</v>
      </c>
      <c r="D62" s="816" t="s">
        <v>618</v>
      </c>
      <c r="E62" s="893">
        <v>0.5</v>
      </c>
      <c r="F62" s="880">
        <v>80</v>
      </c>
    </row>
    <row r="63" spans="1:8" s="876" customFormat="1" ht="36">
      <c r="A63" s="880">
        <v>3</v>
      </c>
      <c r="B63" s="3281"/>
      <c r="C63" s="816" t="s">
        <v>619</v>
      </c>
      <c r="D63" s="816" t="s">
        <v>620</v>
      </c>
      <c r="E63" s="893">
        <v>0.5</v>
      </c>
      <c r="F63" s="880">
        <v>80</v>
      </c>
    </row>
    <row r="64" spans="1:8" s="876" customFormat="1" ht="36">
      <c r="A64" s="880">
        <v>4</v>
      </c>
      <c r="B64" s="3281"/>
      <c r="C64" s="816" t="s">
        <v>621</v>
      </c>
      <c r="D64" s="816" t="s">
        <v>622</v>
      </c>
      <c r="E64" s="893">
        <v>0.4</v>
      </c>
      <c r="F64" s="880">
        <v>60</v>
      </c>
    </row>
    <row r="65" spans="1:6" s="876" customFormat="1" ht="36">
      <c r="A65" s="880">
        <v>5</v>
      </c>
      <c r="B65" s="3281"/>
      <c r="C65" s="816" t="s">
        <v>623</v>
      </c>
      <c r="D65" s="816" t="s">
        <v>624</v>
      </c>
      <c r="E65" s="893">
        <v>0.2</v>
      </c>
      <c r="F65" s="880">
        <v>30</v>
      </c>
    </row>
    <row r="66" spans="1:6" s="876" customFormat="1" ht="36">
      <c r="A66" s="880">
        <v>6</v>
      </c>
      <c r="B66" s="3281"/>
      <c r="C66" s="816" t="s">
        <v>625</v>
      </c>
      <c r="D66" s="816" t="s">
        <v>626</v>
      </c>
      <c r="E66" s="893">
        <v>0.3</v>
      </c>
      <c r="F66" s="880">
        <v>50</v>
      </c>
    </row>
    <row r="67" spans="1:6" s="876" customFormat="1" ht="36">
      <c r="A67" s="880">
        <v>7</v>
      </c>
      <c r="B67" s="3281"/>
      <c r="C67" s="816" t="s">
        <v>627</v>
      </c>
      <c r="D67" s="816" t="s">
        <v>628</v>
      </c>
      <c r="E67" s="893">
        <v>0.2</v>
      </c>
      <c r="F67" s="880">
        <v>30</v>
      </c>
    </row>
    <row r="68" spans="1:6" s="876" customFormat="1" ht="36">
      <c r="A68" s="880">
        <v>8</v>
      </c>
      <c r="B68" s="3281"/>
      <c r="C68" s="816" t="s">
        <v>629</v>
      </c>
      <c r="D68" s="816" t="s">
        <v>630</v>
      </c>
      <c r="E68" s="893">
        <v>0.2</v>
      </c>
      <c r="F68" s="880">
        <v>30</v>
      </c>
    </row>
    <row r="69" spans="1:6" s="876" customFormat="1" ht="36">
      <c r="A69" s="880">
        <v>9</v>
      </c>
      <c r="B69" s="3281"/>
      <c r="C69" s="816" t="s">
        <v>631</v>
      </c>
      <c r="D69" s="816" t="s">
        <v>632</v>
      </c>
      <c r="E69" s="893">
        <v>0.2</v>
      </c>
      <c r="F69" s="880">
        <v>30</v>
      </c>
    </row>
    <row r="70" spans="1:6" s="876" customFormat="1" ht="48">
      <c r="A70" s="880">
        <v>10</v>
      </c>
      <c r="B70" s="3281"/>
      <c r="C70" s="816" t="s">
        <v>633</v>
      </c>
      <c r="D70" s="816" t="s">
        <v>634</v>
      </c>
      <c r="E70" s="893">
        <v>0.2</v>
      </c>
      <c r="F70" s="880">
        <v>30</v>
      </c>
    </row>
    <row r="71" spans="1:6" s="876" customFormat="1" ht="48">
      <c r="A71" s="880">
        <v>11</v>
      </c>
      <c r="B71" s="3281"/>
      <c r="C71" s="816" t="s">
        <v>635</v>
      </c>
      <c r="D71" s="816" t="s">
        <v>636</v>
      </c>
      <c r="E71" s="893">
        <v>0.2</v>
      </c>
      <c r="F71" s="880">
        <v>30</v>
      </c>
    </row>
    <row r="72" spans="1:6" s="876" customFormat="1" ht="36">
      <c r="A72" s="880">
        <v>12</v>
      </c>
      <c r="B72" s="3281"/>
      <c r="C72" s="816" t="s">
        <v>637</v>
      </c>
      <c r="D72" s="816" t="s">
        <v>638</v>
      </c>
      <c r="E72" s="893">
        <v>0.5</v>
      </c>
      <c r="F72" s="880">
        <v>80</v>
      </c>
    </row>
    <row r="73" spans="1:6" s="876" customFormat="1" ht="24">
      <c r="A73" s="880">
        <v>13</v>
      </c>
      <c r="B73" s="3281"/>
      <c r="C73" s="816" t="s">
        <v>639</v>
      </c>
      <c r="D73" s="816" t="s">
        <v>640</v>
      </c>
      <c r="E73" s="893">
        <v>0.4</v>
      </c>
      <c r="F73" s="880">
        <v>60</v>
      </c>
    </row>
    <row r="74" spans="1:6" s="876" customFormat="1" ht="24">
      <c r="A74" s="880">
        <v>14</v>
      </c>
      <c r="B74" s="3281"/>
      <c r="C74" s="816" t="s">
        <v>641</v>
      </c>
      <c r="D74" s="816" t="s">
        <v>642</v>
      </c>
      <c r="E74" s="893">
        <v>0.2</v>
      </c>
      <c r="F74" s="880">
        <v>30</v>
      </c>
    </row>
    <row r="75" spans="1:6" s="876" customFormat="1" ht="24">
      <c r="A75" s="880">
        <v>15</v>
      </c>
      <c r="B75" s="3281"/>
      <c r="C75" s="816" t="s">
        <v>643</v>
      </c>
      <c r="D75" s="816" t="s">
        <v>644</v>
      </c>
      <c r="E75" s="893">
        <v>0.2</v>
      </c>
      <c r="F75" s="880">
        <v>30</v>
      </c>
    </row>
    <row r="76" spans="1:6" s="876" customFormat="1" ht="24">
      <c r="A76" s="880">
        <v>16</v>
      </c>
      <c r="B76" s="3281" t="s">
        <v>645</v>
      </c>
      <c r="C76" s="816" t="s">
        <v>646</v>
      </c>
      <c r="D76" s="816" t="s">
        <v>647</v>
      </c>
      <c r="E76" s="893">
        <v>0.5</v>
      </c>
      <c r="F76" s="880">
        <v>80</v>
      </c>
    </row>
    <row r="77" spans="1:6" s="876" customFormat="1" ht="24">
      <c r="A77" s="880">
        <v>17</v>
      </c>
      <c r="B77" s="3281"/>
      <c r="C77" s="816" t="s">
        <v>648</v>
      </c>
      <c r="D77" s="816" t="s">
        <v>649</v>
      </c>
      <c r="E77" s="893">
        <v>0.5</v>
      </c>
      <c r="F77" s="880">
        <v>80</v>
      </c>
    </row>
    <row r="78" spans="1:6" s="876" customFormat="1" ht="24">
      <c r="A78" s="880">
        <v>18</v>
      </c>
      <c r="B78" s="3281"/>
      <c r="C78" s="816" t="s">
        <v>650</v>
      </c>
      <c r="D78" s="816" t="s">
        <v>651</v>
      </c>
      <c r="E78" s="893">
        <v>0.2</v>
      </c>
      <c r="F78" s="880">
        <v>30</v>
      </c>
    </row>
    <row r="79" spans="1:6" s="876" customFormat="1" ht="24">
      <c r="A79" s="880">
        <v>19</v>
      </c>
      <c r="B79" s="3281"/>
      <c r="C79" s="816" t="s">
        <v>652</v>
      </c>
      <c r="D79" s="816" t="s">
        <v>653</v>
      </c>
      <c r="E79" s="893">
        <v>0.5</v>
      </c>
      <c r="F79" s="880">
        <v>80</v>
      </c>
    </row>
    <row r="80" spans="1:6" s="876" customFormat="1" ht="36">
      <c r="A80" s="880">
        <v>20</v>
      </c>
      <c r="B80" s="3281"/>
      <c r="C80" s="816" t="s">
        <v>654</v>
      </c>
      <c r="D80" s="816" t="s">
        <v>655</v>
      </c>
      <c r="E80" s="893">
        <v>0.2</v>
      </c>
      <c r="F80" s="880">
        <v>30</v>
      </c>
    </row>
    <row r="81" spans="1:6" s="876" customFormat="1" ht="36">
      <c r="A81" s="880">
        <v>21</v>
      </c>
      <c r="B81" s="3281"/>
      <c r="C81" s="816" t="s">
        <v>656</v>
      </c>
      <c r="D81" s="816" t="s">
        <v>657</v>
      </c>
      <c r="E81" s="893">
        <v>0.2</v>
      </c>
      <c r="F81" s="880">
        <v>30</v>
      </c>
    </row>
    <row r="82" spans="1:6" s="876" customFormat="1" ht="48">
      <c r="A82" s="880">
        <v>22</v>
      </c>
      <c r="B82" s="3281"/>
      <c r="C82" s="816" t="s">
        <v>658</v>
      </c>
      <c r="D82" s="816" t="s">
        <v>659</v>
      </c>
      <c r="E82" s="893">
        <v>0.2</v>
      </c>
      <c r="F82" s="880">
        <v>30</v>
      </c>
    </row>
    <row r="83" spans="1:6" s="876" customFormat="1" ht="48">
      <c r="A83" s="880">
        <v>23</v>
      </c>
      <c r="B83" s="3281"/>
      <c r="C83" s="816" t="s">
        <v>660</v>
      </c>
      <c r="D83" s="816" t="s">
        <v>661</v>
      </c>
      <c r="E83" s="893">
        <v>0.2</v>
      </c>
      <c r="F83" s="880">
        <v>30</v>
      </c>
    </row>
    <row r="84" spans="1:6" s="876" customFormat="1" ht="36">
      <c r="A84" s="880">
        <v>24</v>
      </c>
      <c r="B84" s="3281"/>
      <c r="C84" s="816" t="s">
        <v>662</v>
      </c>
      <c r="D84" s="816" t="s">
        <v>663</v>
      </c>
      <c r="E84" s="893">
        <v>0.2</v>
      </c>
      <c r="F84" s="880">
        <v>30</v>
      </c>
    </row>
    <row r="85" spans="1:6" s="876" customFormat="1" ht="36">
      <c r="A85" s="880">
        <v>25</v>
      </c>
      <c r="B85" s="3281"/>
      <c r="C85" s="816" t="s">
        <v>664</v>
      </c>
      <c r="D85" s="816" t="s">
        <v>665</v>
      </c>
      <c r="E85" s="893">
        <v>0.5</v>
      </c>
      <c r="F85" s="880">
        <v>80</v>
      </c>
    </row>
    <row r="86" spans="1:6" s="876" customFormat="1" ht="36">
      <c r="A86" s="880">
        <v>26</v>
      </c>
      <c r="B86" s="3281"/>
      <c r="C86" s="816" t="s">
        <v>666</v>
      </c>
      <c r="D86" s="816" t="s">
        <v>667</v>
      </c>
      <c r="E86" s="893">
        <v>0.2</v>
      </c>
      <c r="F86" s="880">
        <v>30</v>
      </c>
    </row>
    <row r="87" spans="1:6" s="876" customFormat="1" ht="36">
      <c r="A87" s="880">
        <v>27</v>
      </c>
      <c r="B87" s="3281"/>
      <c r="C87" s="816" t="s">
        <v>668</v>
      </c>
      <c r="D87" s="816" t="s">
        <v>669</v>
      </c>
      <c r="E87" s="893">
        <v>0.2</v>
      </c>
      <c r="F87" s="880">
        <v>30</v>
      </c>
    </row>
    <row r="88" spans="1:6" s="876" customFormat="1" ht="36">
      <c r="A88" s="880">
        <v>28</v>
      </c>
      <c r="B88" s="3281"/>
      <c r="C88" s="816" t="s">
        <v>670</v>
      </c>
      <c r="D88" s="816" t="s">
        <v>671</v>
      </c>
      <c r="E88" s="893">
        <v>0.2</v>
      </c>
      <c r="F88" s="880">
        <v>30</v>
      </c>
    </row>
    <row r="89" spans="1:6" s="876" customFormat="1" ht="24">
      <c r="A89" s="880">
        <v>29</v>
      </c>
      <c r="B89" s="3281"/>
      <c r="C89" s="816" t="s">
        <v>672</v>
      </c>
      <c r="D89" s="816" t="s">
        <v>673</v>
      </c>
      <c r="E89" s="893">
        <v>0.2</v>
      </c>
      <c r="F89" s="880">
        <v>30</v>
      </c>
    </row>
    <row r="90" spans="1:6" s="876" customFormat="1" ht="24">
      <c r="A90" s="880">
        <v>30</v>
      </c>
      <c r="B90" s="3281"/>
      <c r="C90" s="816" t="s">
        <v>674</v>
      </c>
      <c r="D90" s="816" t="s">
        <v>675</v>
      </c>
      <c r="E90" s="893">
        <v>0.2</v>
      </c>
      <c r="F90" s="880">
        <v>30</v>
      </c>
    </row>
    <row r="91" spans="1:6" s="876" customFormat="1" ht="36">
      <c r="A91" s="880">
        <v>31</v>
      </c>
      <c r="B91" s="3281"/>
      <c r="C91" s="816" t="s">
        <v>676</v>
      </c>
      <c r="D91" s="816" t="s">
        <v>677</v>
      </c>
      <c r="E91" s="893">
        <v>0.2</v>
      </c>
      <c r="F91" s="880">
        <v>30</v>
      </c>
    </row>
    <row r="92" spans="1:6" s="876" customFormat="1" ht="24">
      <c r="A92" s="880">
        <v>32</v>
      </c>
      <c r="B92" s="3281" t="s">
        <v>678</v>
      </c>
      <c r="C92" s="880" t="s">
        <v>679</v>
      </c>
      <c r="D92" s="816" t="s">
        <v>680</v>
      </c>
      <c r="E92" s="893">
        <v>0.2</v>
      </c>
      <c r="F92" s="880">
        <v>30</v>
      </c>
    </row>
    <row r="93" spans="1:6" s="876" customFormat="1" ht="36">
      <c r="A93" s="880">
        <v>33</v>
      </c>
      <c r="B93" s="3281"/>
      <c r="C93" s="880" t="s">
        <v>681</v>
      </c>
      <c r="D93" s="816" t="s">
        <v>682</v>
      </c>
      <c r="E93" s="893">
        <v>0.2</v>
      </c>
      <c r="F93" s="880">
        <v>30</v>
      </c>
    </row>
    <row r="94" spans="1:6" s="876" customFormat="1" ht="48">
      <c r="A94" s="880">
        <v>34</v>
      </c>
      <c r="B94" s="3281"/>
      <c r="C94" s="880" t="s">
        <v>683</v>
      </c>
      <c r="D94" s="816" t="s">
        <v>684</v>
      </c>
      <c r="E94" s="893">
        <v>0.2</v>
      </c>
      <c r="F94" s="880">
        <v>30</v>
      </c>
    </row>
    <row r="95" spans="1:6" s="876" customFormat="1" ht="36">
      <c r="A95" s="880">
        <v>35</v>
      </c>
      <c r="B95" s="3281"/>
      <c r="C95" s="880" t="s">
        <v>685</v>
      </c>
      <c r="D95" s="816" t="s">
        <v>686</v>
      </c>
      <c r="E95" s="893">
        <v>0.2</v>
      </c>
      <c r="F95" s="880">
        <v>30</v>
      </c>
    </row>
    <row r="96" spans="1:6" s="876" customFormat="1" ht="48">
      <c r="A96" s="880">
        <v>36</v>
      </c>
      <c r="B96" s="3281"/>
      <c r="C96" s="816" t="s">
        <v>687</v>
      </c>
      <c r="D96" s="816" t="s">
        <v>688</v>
      </c>
      <c r="E96" s="893">
        <v>0.2</v>
      </c>
      <c r="F96" s="880">
        <v>30</v>
      </c>
    </row>
    <row r="97" spans="1:6" s="876" customFormat="1" ht="36">
      <c r="A97" s="880">
        <v>37</v>
      </c>
      <c r="B97" s="3281"/>
      <c r="C97" s="880" t="s">
        <v>689</v>
      </c>
      <c r="D97" s="816" t="s">
        <v>690</v>
      </c>
      <c r="E97" s="893">
        <v>0.2</v>
      </c>
      <c r="F97" s="880">
        <v>30</v>
      </c>
    </row>
    <row r="98" spans="1:6" s="876" customFormat="1" ht="36">
      <c r="A98" s="880">
        <v>38</v>
      </c>
      <c r="B98" s="3281"/>
      <c r="C98" s="880" t="s">
        <v>691</v>
      </c>
      <c r="D98" s="816" t="s">
        <v>692</v>
      </c>
      <c r="E98" s="893">
        <v>0.2</v>
      </c>
      <c r="F98" s="880">
        <v>30</v>
      </c>
    </row>
    <row r="99" spans="1:6" s="876" customFormat="1" ht="36">
      <c r="A99" s="880">
        <v>39</v>
      </c>
      <c r="B99" s="3281" t="s">
        <v>693</v>
      </c>
      <c r="C99" s="880" t="s">
        <v>694</v>
      </c>
      <c r="D99" s="816" t="s">
        <v>695</v>
      </c>
      <c r="E99" s="893">
        <v>0.3</v>
      </c>
      <c r="F99" s="880">
        <v>50</v>
      </c>
    </row>
    <row r="100" spans="1:6" s="876" customFormat="1" ht="24">
      <c r="A100" s="880">
        <v>40</v>
      </c>
      <c r="B100" s="3281"/>
      <c r="C100" s="880" t="s">
        <v>696</v>
      </c>
      <c r="D100" s="816" t="s">
        <v>697</v>
      </c>
      <c r="E100" s="893">
        <v>0.2</v>
      </c>
      <c r="F100" s="880">
        <v>30</v>
      </c>
    </row>
    <row r="101" spans="1:6" s="876" customFormat="1" ht="36">
      <c r="A101" s="880">
        <v>41</v>
      </c>
      <c r="B101" s="328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1" t="s">
        <v>708</v>
      </c>
      <c r="C105" s="880" t="s">
        <v>709</v>
      </c>
      <c r="D105" s="816" t="s">
        <v>710</v>
      </c>
      <c r="E105" s="893">
        <v>0.2</v>
      </c>
      <c r="F105" s="880">
        <v>30</v>
      </c>
    </row>
    <row r="106" spans="1:6" s="876" customFormat="1" ht="36">
      <c r="A106" s="880">
        <v>46</v>
      </c>
      <c r="B106" s="3281"/>
      <c r="C106" s="880" t="s">
        <v>711</v>
      </c>
      <c r="D106" s="816" t="s">
        <v>712</v>
      </c>
      <c r="E106" s="893">
        <v>0.2</v>
      </c>
      <c r="F106" s="880">
        <v>30</v>
      </c>
    </row>
    <row r="107" spans="1:6" s="876" customFormat="1" ht="36">
      <c r="A107" s="880">
        <v>47</v>
      </c>
      <c r="B107" s="3281" t="s">
        <v>713</v>
      </c>
      <c r="C107" s="880" t="s">
        <v>714</v>
      </c>
      <c r="D107" s="816" t="s">
        <v>715</v>
      </c>
      <c r="E107" s="893">
        <v>0.3</v>
      </c>
      <c r="F107" s="880">
        <v>50</v>
      </c>
    </row>
    <row r="108" spans="1:6" s="876" customFormat="1" ht="36">
      <c r="A108" s="880">
        <v>48</v>
      </c>
      <c r="B108" s="328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1" t="s">
        <v>724</v>
      </c>
      <c r="C111" s="880" t="s">
        <v>725</v>
      </c>
      <c r="D111" s="816" t="s">
        <v>726</v>
      </c>
      <c r="E111" s="893">
        <v>0.2</v>
      </c>
      <c r="F111" s="880">
        <v>30</v>
      </c>
    </row>
    <row r="112" spans="1:6" s="876" customFormat="1" ht="24">
      <c r="A112" s="880">
        <v>52</v>
      </c>
      <c r="B112" s="3281"/>
      <c r="C112" s="880" t="s">
        <v>727</v>
      </c>
      <c r="D112" s="816" t="s">
        <v>728</v>
      </c>
      <c r="E112" s="893">
        <v>0.2</v>
      </c>
      <c r="F112" s="880">
        <v>30</v>
      </c>
    </row>
    <row r="113" spans="1:6" s="876" customFormat="1" ht="24">
      <c r="A113" s="880">
        <v>53</v>
      </c>
      <c r="B113" s="328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1" t="s">
        <v>737</v>
      </c>
      <c r="C116" s="880" t="s">
        <v>738</v>
      </c>
      <c r="D116" s="816" t="s">
        <v>739</v>
      </c>
      <c r="E116" s="893">
        <v>0.2</v>
      </c>
      <c r="F116" s="880">
        <v>30</v>
      </c>
    </row>
    <row r="117" spans="1:6" ht="36">
      <c r="A117" s="880">
        <v>57</v>
      </c>
      <c r="B117" s="328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0.86009999999999998</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2998</v>
      </c>
    </row>
    <row r="2" spans="1:5" ht="15.75">
      <c r="A2" s="2898" t="s">
        <v>2990</v>
      </c>
      <c r="B2" s="2899">
        <f ca="1">SUMIF(B6:B13,"&lt;&gt;#ref!",B6:B13)</f>
        <v>35942</v>
      </c>
      <c r="C2" s="2898" t="s">
        <v>2991</v>
      </c>
      <c r="D2" s="2898" t="s">
        <v>2992</v>
      </c>
      <c r="E2" s="2899">
        <f ca="1">SUMIF(E6:E13,"&lt;&gt;#ref!",E6:E13)</f>
        <v>48967.92</v>
      </c>
    </row>
    <row r="3" spans="1:5" ht="15.75">
      <c r="A3" s="2898" t="s">
        <v>2993</v>
      </c>
      <c r="B3" s="2899">
        <f ca="1">ROUND(B2*10000/E2,0)</f>
        <v>7340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f ca="1">SUMIF(INDIRECT("'"&amp;A6&amp;"'"&amp;"!A:A"),"总价",INDIRECT("'"&amp;A6&amp;"'"&amp;"!B:B"))</f>
        <v>35942</v>
      </c>
      <c r="C6" s="2898" t="s">
        <v>2991</v>
      </c>
      <c r="D6" s="2900"/>
      <c r="E6" s="2572">
        <f ca="1">SUMIF(INDIRECT("'"&amp;A6&amp;"'"&amp;"!C:C"),"建筑面积",INDIRECT("'"&amp;A6&amp;"'"&amp;"!D:D"))</f>
        <v>48967.92</v>
      </c>
    </row>
    <row r="7" spans="1:5" ht="15.75">
      <c r="A7" s="2903"/>
      <c r="B7" s="2899" t="e">
        <f ca="1">SUMIF(INDIRECT("'"&amp;A7&amp;"'"&amp;"!A:A"),"总价",INDIRECT("'"&amp;A7&amp;"'"&amp;"!B:B"))</f>
        <v>#REF!</v>
      </c>
      <c r="C7" s="2898" t="s">
        <v>2991</v>
      </c>
      <c r="D7" s="2900"/>
      <c r="E7" s="2572"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2" t="e">
        <f t="shared" ca="1" si="0"/>
        <v>#REF!</v>
      </c>
    </row>
    <row r="9" spans="1:5" ht="15.75">
      <c r="A9" s="2903"/>
      <c r="B9" s="2899" t="e">
        <f t="shared" ca="1" si="1"/>
        <v>#REF!</v>
      </c>
      <c r="C9" s="2898" t="s">
        <v>2991</v>
      </c>
      <c r="D9" s="2900"/>
      <c r="E9" s="2572" t="e">
        <f t="shared" ca="1" si="0"/>
        <v>#REF!</v>
      </c>
    </row>
    <row r="10" spans="1:5" ht="15.75">
      <c r="A10" s="2903"/>
      <c r="B10" s="2899" t="e">
        <f t="shared" ca="1" si="1"/>
        <v>#REF!</v>
      </c>
      <c r="C10" s="2898" t="s">
        <v>2991</v>
      </c>
      <c r="D10" s="2900"/>
      <c r="E10" s="2572" t="e">
        <f t="shared" ca="1" si="0"/>
        <v>#REF!</v>
      </c>
    </row>
    <row r="11" spans="1:5" ht="15.75">
      <c r="A11" s="2903"/>
      <c r="B11" s="2899" t="e">
        <f t="shared" ca="1" si="1"/>
        <v>#REF!</v>
      </c>
      <c r="C11" s="2898" t="s">
        <v>2991</v>
      </c>
      <c r="D11" s="2900"/>
      <c r="E11" s="2572" t="e">
        <f t="shared" ca="1" si="0"/>
        <v>#REF!</v>
      </c>
    </row>
    <row r="12" spans="1:5" ht="15.75">
      <c r="A12" s="2903"/>
      <c r="B12" s="2899" t="e">
        <f t="shared" ca="1" si="1"/>
        <v>#REF!</v>
      </c>
      <c r="C12" s="2898" t="s">
        <v>2991</v>
      </c>
      <c r="D12" s="2900"/>
      <c r="E12" s="2572" t="e">
        <f t="shared" ca="1" si="0"/>
        <v>#REF!</v>
      </c>
    </row>
    <row r="13" spans="1:5" ht="15.75">
      <c r="A13" s="2903"/>
      <c r="B13" s="2899" t="e">
        <f t="shared" ca="1" si="1"/>
        <v>#REF!</v>
      </c>
      <c r="C13" s="2898" t="s">
        <v>2991</v>
      </c>
      <c r="D13" s="2900"/>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7" t="s">
        <v>1146</v>
      </c>
      <c r="C1" s="3287"/>
      <c r="D1" s="3287"/>
      <c r="E1" s="3287"/>
      <c r="F1" s="3287"/>
      <c r="G1" s="3286" t="s">
        <v>1147</v>
      </c>
      <c r="H1" s="3286"/>
      <c r="I1" s="3286"/>
      <c r="J1" s="3286"/>
      <c r="K1" s="3286"/>
      <c r="L1" s="3286"/>
      <c r="N1" s="3286" t="s">
        <v>1148</v>
      </c>
      <c r="O1" s="3286"/>
      <c r="P1" s="3286"/>
      <c r="Q1" s="3286"/>
      <c r="R1" s="1443"/>
      <c r="S1" s="3286" t="s">
        <v>1149</v>
      </c>
      <c r="T1" s="3286"/>
      <c r="U1" s="3286"/>
      <c r="V1" s="3286"/>
      <c r="X1" s="3285" t="s">
        <v>1150</v>
      </c>
      <c r="Y1" s="3286"/>
      <c r="Z1" s="3286"/>
      <c r="AA1" s="3286"/>
      <c r="AB1" s="3286"/>
      <c r="AD1" s="3285" t="s">
        <v>1151</v>
      </c>
      <c r="AE1" s="3286"/>
      <c r="AF1" s="3286"/>
      <c r="AG1" s="3286"/>
      <c r="AH1" s="3286"/>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3047</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8">
        <v>2019</v>
      </c>
      <c r="H5" s="1727">
        <v>2</v>
      </c>
      <c r="I5" s="2910">
        <v>0</v>
      </c>
      <c r="J5" s="2910">
        <v>0</v>
      </c>
      <c r="K5" s="2910">
        <v>0</v>
      </c>
      <c r="L5" s="2910">
        <v>0</v>
      </c>
      <c r="N5" s="1464">
        <f>I5/100</f>
        <v>0</v>
      </c>
      <c r="O5" s="1464">
        <f t="shared" ref="O5" si="7">J5/100</f>
        <v>0</v>
      </c>
      <c r="P5" s="1464">
        <f t="shared" ref="P5" si="8">K5/100</f>
        <v>0</v>
      </c>
      <c r="Q5" s="1464">
        <f t="shared" ref="Q5" si="9">L5/100</f>
        <v>0</v>
      </c>
      <c r="R5" s="1729"/>
      <c r="S5" s="1730"/>
      <c r="T5" s="1729"/>
      <c r="U5" s="1729"/>
      <c r="V5" s="1729"/>
      <c r="W5" s="2913" t="s">
        <v>3034</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3048</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7">
        <v>2019</v>
      </c>
      <c r="H6" s="1461">
        <v>1</v>
      </c>
      <c r="I6" s="2929">
        <v>0.6</v>
      </c>
      <c r="J6" s="2929">
        <v>0.37</v>
      </c>
      <c r="K6" s="2929">
        <v>0.63</v>
      </c>
      <c r="L6" s="2930">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3046</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3">
        <v>2018</v>
      </c>
      <c r="H7" s="1461">
        <v>4</v>
      </c>
      <c r="I7" s="2929">
        <v>0.96</v>
      </c>
      <c r="J7" s="2929">
        <v>1.03</v>
      </c>
      <c r="K7" s="2929">
        <v>0.92</v>
      </c>
      <c r="L7" s="2930">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3040</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3"/>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3039</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3"/>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3032</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2"/>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3029</v>
      </c>
      <c r="B11" s="1466">
        <v>439</v>
      </c>
      <c r="C11" s="1466">
        <v>327</v>
      </c>
      <c r="D11" s="1466">
        <f>C11</f>
        <v>327</v>
      </c>
      <c r="E11" s="1466">
        <v>627</v>
      </c>
      <c r="F11" s="1467">
        <v>283</v>
      </c>
      <c r="G11" s="3288">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3030</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3"/>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3"/>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2"/>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88">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3"/>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3"/>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4"/>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2">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3"/>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3"/>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4"/>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2">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3"/>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3"/>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4"/>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289">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90"/>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90"/>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91"/>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2">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3"/>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3"/>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4"/>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2">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3">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3">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4">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2">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3">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3">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4">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2">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3">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3">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4">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2">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3">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3">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4">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2">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3">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3">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4">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2">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3">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3">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4">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2">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3">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3">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4">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2">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3">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3">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4">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2">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3">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3">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4">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2">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3">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3">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4">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1" t="s">
        <v>3000</v>
      </c>
      <c r="C1" s="3294" t="s">
        <v>3001</v>
      </c>
      <c r="D1" s="3295"/>
      <c r="E1" s="3295"/>
      <c r="F1" s="3295"/>
      <c r="G1" s="3295"/>
      <c r="H1" s="3295"/>
      <c r="I1" s="3295"/>
      <c r="J1" s="3295"/>
      <c r="K1" s="3295"/>
      <c r="L1" s="3295"/>
      <c r="M1" s="3295"/>
      <c r="N1" s="3295"/>
      <c r="O1" s="3295"/>
      <c r="P1" s="3295"/>
      <c r="Q1" s="3295"/>
      <c r="R1" s="3295"/>
      <c r="S1" s="3296"/>
      <c r="T1" s="1201" t="s">
        <v>3002</v>
      </c>
    </row>
    <row r="2" spans="1:45" s="706" customFormat="1">
      <c r="A2" s="1202"/>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66" t="s">
        <v>3004</v>
      </c>
      <c r="C5" s="1213"/>
      <c r="D5" s="1214"/>
      <c r="E5" s="1214"/>
      <c r="F5" s="1708"/>
      <c r="G5" s="1708"/>
      <c r="H5" s="1708"/>
      <c r="I5" s="1708"/>
      <c r="J5" s="1708"/>
      <c r="K5" s="1708"/>
      <c r="L5" s="1709"/>
      <c r="M5" s="1710"/>
      <c r="N5" s="1710"/>
      <c r="O5" s="1708"/>
      <c r="P5" s="1708"/>
      <c r="Q5" s="1708"/>
      <c r="R5" s="1708"/>
      <c r="S5" s="171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67" t="s">
        <v>3005</v>
      </c>
      <c r="C7" s="1118"/>
      <c r="D7" s="1112"/>
      <c r="E7" s="1112"/>
      <c r="F7" s="1713"/>
      <c r="G7" s="1713"/>
      <c r="H7" s="1713"/>
      <c r="I7" s="1713"/>
      <c r="J7" s="1713"/>
      <c r="K7" s="1713"/>
      <c r="L7" s="1713"/>
      <c r="M7" s="1714"/>
      <c r="N7" s="1715"/>
      <c r="O7" s="1716"/>
      <c r="P7" s="1717"/>
      <c r="Q7" s="1718"/>
      <c r="R7" s="1719"/>
      <c r="S7" s="172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67" t="s">
        <v>3006</v>
      </c>
      <c r="C9" s="1118"/>
      <c r="D9" s="1112"/>
      <c r="E9" s="1112"/>
      <c r="F9" s="1713"/>
      <c r="G9" s="1713"/>
      <c r="H9" s="1713"/>
      <c r="I9" s="1713"/>
      <c r="J9" s="1713"/>
      <c r="K9" s="1713"/>
      <c r="L9" s="1721"/>
      <c r="M9" s="1714"/>
      <c r="N9" s="1715"/>
      <c r="O9" s="1716"/>
      <c r="P9" s="1717"/>
      <c r="Q9" s="1718"/>
      <c r="R9" s="1719"/>
      <c r="S9" s="172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66" t="s">
        <v>3007</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66" t="s">
        <v>3008</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66" t="s">
        <v>3009</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7"/>
      <c r="B19" s="167"/>
      <c r="C19" s="167"/>
      <c r="D19" s="2906" t="s">
        <v>3012</v>
      </c>
      <c r="E19" s="1789"/>
      <c r="F19" s="1789"/>
      <c r="G19" s="1789"/>
      <c r="H19" s="1277"/>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0"/>
      <c r="F20" s="1201" t="e">
        <f ca="1">SUMIF(INDIRECT("'"&amp;H20&amp;"'"&amp;"!A:A"),"承租人权益价值",INDIRECT("'"&amp;H20&amp;"'"&amp;"!c:c"))</f>
        <v>#REF!</v>
      </c>
      <c r="G20" s="1201"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155" t="s">
        <v>33</v>
      </c>
      <c r="D22" s="3156"/>
      <c r="E22" s="3156"/>
      <c r="F22" s="3156"/>
      <c r="G22" s="3156"/>
      <c r="H22" s="3156"/>
      <c r="I22" s="3156"/>
      <c r="J22" s="3156"/>
      <c r="K22" s="3156"/>
      <c r="L22" s="3156"/>
      <c r="M22" s="3156"/>
      <c r="N22" s="3156"/>
      <c r="O22" s="3156"/>
      <c r="P22" s="3156"/>
      <c r="Q22" s="3293"/>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8"/>
      <c r="B4" s="2978" t="s">
        <v>1626</v>
      </c>
      <c r="C4" s="2978"/>
      <c r="D4" s="2978"/>
      <c r="E4" s="1958"/>
    </row>
    <row r="5" spans="1:5" ht="16.5" thickTop="1">
      <c r="A5" s="1956"/>
      <c r="B5" s="2976" t="s">
        <v>1618</v>
      </c>
      <c r="C5" s="1959" t="s">
        <v>1619</v>
      </c>
      <c r="D5" s="1037">
        <f ca="1">结果表!H101</f>
        <v>126103</v>
      </c>
      <c r="E5" s="1956"/>
    </row>
    <row r="6" spans="1:5" ht="15.75">
      <c r="A6" s="1956"/>
      <c r="B6" s="2976"/>
      <c r="C6" s="1959" t="s">
        <v>1620</v>
      </c>
      <c r="D6" s="1037" t="str">
        <f ca="1">NUMBERSTRING(INT(D5*10000),2)&amp;"元整"</f>
        <v>壹拾贰亿陆仟壹佰零叁万元整</v>
      </c>
      <c r="E6" s="1956"/>
    </row>
    <row r="7" spans="1:5" ht="15.75">
      <c r="A7" s="1956"/>
      <c r="B7" s="2981"/>
      <c r="C7" s="1960" t="s">
        <v>1621</v>
      </c>
      <c r="D7" s="1038">
        <f ca="1">结果表!H102</f>
        <v>25752</v>
      </c>
      <c r="E7" s="1956"/>
    </row>
    <row r="8" spans="1:5" ht="15.75">
      <c r="A8" s="1956"/>
      <c r="B8" s="2982" t="str">
        <f>结果表!E103</f>
        <v>2.估价师知悉的法定优先受偿款</v>
      </c>
      <c r="C8" s="1961" t="s">
        <v>1622</v>
      </c>
      <c r="D8" s="1038">
        <f>结果表!H103</f>
        <v>0</v>
      </c>
      <c r="E8" s="1956"/>
    </row>
    <row r="9" spans="1:5" ht="15.75">
      <c r="A9" s="1956"/>
      <c r="B9" s="2984"/>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2975" t="str">
        <f>结果表!E107</f>
        <v>3.房地产抵押价值</v>
      </c>
      <c r="C13" s="1964" t="s">
        <v>1619</v>
      </c>
      <c r="D13" s="1040">
        <f ca="1">结果表!H107</f>
        <v>126103</v>
      </c>
      <c r="E13" s="1956"/>
    </row>
    <row r="14" spans="1:5" ht="15.75">
      <c r="A14" s="1956"/>
      <c r="B14" s="2976"/>
      <c r="C14" s="1959" t="s">
        <v>1620</v>
      </c>
      <c r="D14" s="1037" t="str">
        <f ca="1">NUMBERSTRING(INT(D13*10000),2)&amp;"元整"</f>
        <v>壹拾贰亿陆仟壹佰零叁万元整</v>
      </c>
      <c r="E14" s="1956"/>
    </row>
    <row r="15" spans="1:5" ht="15">
      <c r="A15" s="1956"/>
      <c r="B15" s="2981"/>
      <c r="C15" s="1960" t="s">
        <v>1630</v>
      </c>
      <c r="D15" s="1049">
        <f ca="1">结果表!H108</f>
        <v>25752</v>
      </c>
      <c r="E15" s="1956"/>
    </row>
    <row r="16" spans="1:5" ht="15">
      <c r="A16" s="1956"/>
      <c r="B16" s="2982" t="str">
        <f>结果表!E109</f>
        <v>——</v>
      </c>
      <c r="C16" s="1964" t="s">
        <v>1631</v>
      </c>
      <c r="D16" s="1965" t="str">
        <f>结果表!H109</f>
        <v>——</v>
      </c>
      <c r="E16" s="1956"/>
    </row>
    <row r="17" spans="1:5" ht="15.75">
      <c r="A17" s="1956"/>
      <c r="B17" s="2983"/>
      <c r="C17" s="1959" t="s">
        <v>1632</v>
      </c>
      <c r="D17" s="1037" t="e">
        <f>NUMBERSTRING(INT(D16*10000),2)&amp;"元整"</f>
        <v>#VALUE!</v>
      </c>
      <c r="E17" s="1956"/>
    </row>
    <row r="18" spans="1:5" ht="15">
      <c r="A18" s="1956"/>
      <c r="B18" s="2984"/>
      <c r="C18" s="1960" t="s">
        <v>1621</v>
      </c>
      <c r="D18" s="1049" t="str">
        <f>结果表!H110</f>
        <v>——</v>
      </c>
      <c r="E18" s="1956"/>
    </row>
    <row r="19" spans="1:5" ht="15.75">
      <c r="A19" s="1956"/>
      <c r="B19" s="2975" t="str">
        <f>结果表!E111</f>
        <v>——</v>
      </c>
      <c r="C19" s="1964" t="s">
        <v>1619</v>
      </c>
      <c r="D19" s="1038" t="str">
        <f>结果表!H111</f>
        <v>——</v>
      </c>
      <c r="E19" s="1956"/>
    </row>
    <row r="20" spans="1:5" ht="15.75">
      <c r="A20" s="1956"/>
      <c r="B20" s="2976"/>
      <c r="C20" s="1959" t="s">
        <v>1632</v>
      </c>
      <c r="D20" s="1037" t="e">
        <f>NUMBERSTRING(INT(D19*10000),2)&amp;"元整"</f>
        <v>#VALUE!</v>
      </c>
      <c r="E20" s="1956"/>
    </row>
    <row r="21" spans="1:5" ht="15.75" thickBot="1">
      <c r="A21" s="1956"/>
      <c r="B21" s="2977"/>
      <c r="C21" s="1966" t="s">
        <v>1630</v>
      </c>
      <c r="D21" s="1050"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86688</v>
      </c>
      <c r="C2" s="2" t="s">
        <v>133</v>
      </c>
      <c r="D2" s="242"/>
      <c r="E2" s="242"/>
      <c r="F2" s="242"/>
      <c r="G2" s="242"/>
    </row>
    <row r="3" spans="1:7" s="243" customFormat="1" ht="18" customHeight="1" thickBot="1">
      <c r="A3" s="246" t="s">
        <v>85</v>
      </c>
      <c r="B3" s="247">
        <f ca="1">ROUND(B2*10000/'数据-汇总表'!E3,0)</f>
        <v>17703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979</v>
      </c>
      <c r="D10" s="1029">
        <f>'数据-汇总表'!E6</f>
        <v>48967.92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0</v>
      </c>
      <c r="D19" s="1033">
        <f>'数据-汇总表'!E3</f>
        <v>48967.92</v>
      </c>
      <c r="E19" s="254">
        <f>'数据-取费表'!B31</f>
        <v>0</v>
      </c>
      <c r="F19" s="274"/>
      <c r="G19" s="1" t="s">
        <v>1071</v>
      </c>
    </row>
    <row r="20" spans="1:7" s="257" customFormat="1" ht="13.5" customHeight="1">
      <c r="A20" s="945" t="s">
        <v>1054</v>
      </c>
      <c r="B20" s="253" t="s">
        <v>104</v>
      </c>
      <c r="C20" s="275">
        <f>ROUND((C5+C19)*F20,0)</f>
        <v>412</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2024</v>
      </c>
      <c r="D22" s="278">
        <f ca="1">C26</f>
        <v>1E-3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2004</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0</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1E-3</v>
      </c>
      <c r="D26" s="281"/>
      <c r="E26" s="284"/>
      <c r="F26" s="282"/>
      <c r="G26" s="286"/>
    </row>
    <row r="27" spans="1:7" s="257" customFormat="1" ht="24.75">
      <c r="A27" s="945" t="s">
        <v>787</v>
      </c>
      <c r="B27" s="287" t="s">
        <v>112</v>
      </c>
      <c r="C27" s="288">
        <f>C28</f>
        <v>5256</v>
      </c>
      <c r="D27" s="278">
        <f>C29</f>
        <v>5.0000000000000001E-3</v>
      </c>
      <c r="E27" s="279" t="s">
        <v>126</v>
      </c>
      <c r="F27" s="289">
        <f>'数据-取费表'!Q16</f>
        <v>0.25</v>
      </c>
      <c r="G27" s="290" t="s">
        <v>1066</v>
      </c>
    </row>
    <row r="28" spans="1:7" s="257" customFormat="1" ht="13.5" customHeight="1">
      <c r="A28" s="948" t="s">
        <v>794</v>
      </c>
      <c r="B28" s="291" t="s">
        <v>1059</v>
      </c>
      <c r="C28" s="292">
        <f>ROUND((C5+C19+C20)*F27*'数据-取费表'!B21/'数据-取费表'!B20,0)</f>
        <v>5256</v>
      </c>
      <c r="D28" s="278"/>
      <c r="E28" s="279"/>
      <c r="F28" s="289"/>
      <c r="G28" s="290"/>
    </row>
    <row r="29" spans="1:7" s="257" customFormat="1" ht="13.5" customHeight="1">
      <c r="A29" s="948" t="s">
        <v>792</v>
      </c>
      <c r="B29" s="291" t="s">
        <v>1060</v>
      </c>
      <c r="C29" s="281">
        <f>ROUND(C21*F27*'数据-取费表'!B21/'数据-取费表'!B20,4)</f>
        <v>5.0000000000000001E-3</v>
      </c>
      <c r="D29" s="278"/>
      <c r="E29" s="279"/>
      <c r="F29" s="289"/>
      <c r="G29" s="290"/>
    </row>
    <row r="30" spans="1:7" s="257" customFormat="1" ht="13.5" customHeight="1">
      <c r="A30" s="945"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30709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41916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39174</v>
      </c>
      <c r="D34" s="260"/>
      <c r="E34" s="263"/>
      <c r="F34" s="300">
        <f>IF('数据-取费表'!B24=0,1,'数据-取费表'!N16)</f>
        <v>1</v>
      </c>
      <c r="G34" s="262" t="s">
        <v>116</v>
      </c>
    </row>
    <row r="35" spans="1:7" ht="13.5" customHeight="1">
      <c r="A35" s="948" t="s">
        <v>796</v>
      </c>
      <c r="B35" s="258" t="s">
        <v>60</v>
      </c>
      <c r="C35" s="263">
        <f>ROUND(C34*F35,0)</f>
        <v>1175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8" t="s">
        <v>798</v>
      </c>
      <c r="B37" s="258" t="s">
        <v>118</v>
      </c>
      <c r="C37" s="292">
        <f>ROUND(E37*D37*F34/10000,0)</f>
        <v>979</v>
      </c>
      <c r="D37" s="260">
        <f>'数据-汇总表'!E3</f>
        <v>48967.92</v>
      </c>
      <c r="E37" s="292">
        <f>'数据-取费表'!B35</f>
        <v>200</v>
      </c>
      <c r="F37" s="302"/>
      <c r="G37" s="304" t="s">
        <v>119</v>
      </c>
    </row>
    <row r="38" spans="1:7" ht="13.5" customHeight="1">
      <c r="A38" s="948" t="s">
        <v>799</v>
      </c>
      <c r="B38" s="258" t="s">
        <v>63</v>
      </c>
      <c r="C38" s="263">
        <f>ROUND(C34*F38,0)</f>
        <v>588</v>
      </c>
      <c r="D38" s="263"/>
      <c r="E38" s="263"/>
      <c r="F38" s="302">
        <f>'数据-取费表'!B36</f>
        <v>1.4999999999999999E-2</v>
      </c>
      <c r="G38" s="262" t="s">
        <v>117</v>
      </c>
    </row>
    <row r="39" spans="1:7" s="257" customFormat="1" ht="13.5" customHeight="1">
      <c r="A39" s="945" t="s">
        <v>783</v>
      </c>
      <c r="B39" s="253" t="s">
        <v>104</v>
      </c>
      <c r="C39" s="275">
        <f>ROUND(C33*F20,0)</f>
        <v>838</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2031</v>
      </c>
      <c r="D41" s="278">
        <f ca="1">C44</f>
        <v>1E-3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1991</v>
      </c>
      <c r="D42" s="281"/>
      <c r="E42" s="281"/>
      <c r="F42" s="282"/>
      <c r="G42" s="3160" t="s">
        <v>121</v>
      </c>
    </row>
    <row r="43" spans="1:7" ht="13.5" customHeight="1">
      <c r="A43" s="948" t="s">
        <v>792</v>
      </c>
      <c r="B43" s="258" t="s">
        <v>1061</v>
      </c>
      <c r="C43" s="281">
        <f ca="1">ROUND(IF('数据-取费表'!B22&lt;=1,C39*F22*'数据-取费表'!B21/2,C39*(POWER((1+F22),'数据-取费表'!B21/2)-1)),0)</f>
        <v>40</v>
      </c>
      <c r="D43" s="281"/>
      <c r="E43" s="281"/>
      <c r="F43" s="282"/>
      <c r="G43" s="3161"/>
    </row>
    <row r="44" spans="1:7" ht="13.5" customHeight="1">
      <c r="A44" s="948" t="s">
        <v>793</v>
      </c>
      <c r="B44" s="258" t="s">
        <v>1063</v>
      </c>
      <c r="C44" s="281">
        <f ca="1">ROUND(IF('数据-取费表'!B22&lt;=1,C40*F22*'数据-取费表'!B21/2,C40*(POWER((1+F22),'数据-取费表'!B21/2)-1)),4)</f>
        <v>1E-3</v>
      </c>
      <c r="D44" s="281"/>
      <c r="E44" s="281"/>
      <c r="F44" s="282"/>
      <c r="G44" s="3162"/>
    </row>
    <row r="45" spans="1:7" s="257" customFormat="1" ht="13.5" customHeight="1">
      <c r="A45" s="945" t="s">
        <v>786</v>
      </c>
      <c r="B45" s="287" t="s">
        <v>112</v>
      </c>
      <c r="C45" s="288">
        <f>C46</f>
        <v>10689</v>
      </c>
      <c r="D45" s="278">
        <f>C47</f>
        <v>5.0000000000000001E-3</v>
      </c>
      <c r="E45" s="279" t="s">
        <v>129</v>
      </c>
      <c r="F45" s="289"/>
      <c r="G45" s="290" t="s">
        <v>1069</v>
      </c>
    </row>
    <row r="46" spans="1:7" s="257" customFormat="1" ht="13.5" customHeight="1">
      <c r="A46" s="948" t="s">
        <v>794</v>
      </c>
      <c r="B46" s="291" t="s">
        <v>1062</v>
      </c>
      <c r="C46" s="292">
        <f>ROUND((C33+C39)*F27,0)</f>
        <v>10689</v>
      </c>
      <c r="D46" s="306"/>
      <c r="E46" s="279"/>
      <c r="F46" s="289"/>
      <c r="G46" s="290"/>
    </row>
    <row r="47" spans="1:7" s="257" customFormat="1" ht="13.5" customHeight="1">
      <c r="A47" s="948" t="s">
        <v>792</v>
      </c>
      <c r="B47" s="291" t="s">
        <v>1064</v>
      </c>
      <c r="C47" s="281">
        <f>ROUND(C40*F27,4)</f>
        <v>5.0000000000000001E-3</v>
      </c>
      <c r="D47" s="306"/>
      <c r="E47" s="279"/>
      <c r="F47" s="289"/>
      <c r="G47" s="290"/>
    </row>
    <row r="48" spans="1:7" s="257" customFormat="1" ht="13.5" customHeight="1">
      <c r="A48" s="945" t="s">
        <v>787</v>
      </c>
      <c r="B48" s="253" t="s">
        <v>122</v>
      </c>
      <c r="C48" s="305">
        <f>F30</f>
        <v>5.5000000000000007E-2</v>
      </c>
      <c r="D48" s="279" t="s">
        <v>130</v>
      </c>
      <c r="E48" s="275"/>
      <c r="F48" s="280"/>
      <c r="G48" s="277" t="s">
        <v>123</v>
      </c>
    </row>
    <row r="49" spans="1:7" ht="16.5" customHeight="1">
      <c r="A49" s="945" t="s">
        <v>788</v>
      </c>
      <c r="B49" s="253" t="s">
        <v>131</v>
      </c>
      <c r="C49" s="275">
        <f ca="1">ROUND((C33+C39+C41+C45)/(1-C40-D41-D45-C48/(1+'数据-取费表'!B42)),0)</f>
        <v>60192</v>
      </c>
      <c r="D49" s="275"/>
      <c r="E49" s="275"/>
      <c r="F49" s="307"/>
      <c r="G49" s="277" t="s">
        <v>1070</v>
      </c>
    </row>
    <row r="50" spans="1:7" s="301" customFormat="1" ht="24">
      <c r="A50" s="945" t="s">
        <v>789</v>
      </c>
      <c r="B50" s="253" t="s">
        <v>124</v>
      </c>
      <c r="C50" s="275"/>
      <c r="D50" s="275"/>
      <c r="E50" s="275"/>
      <c r="F50" s="307">
        <f>IF('数据-取费表'!B24=0,'数据-取费表'!N16,1)</f>
        <v>0.93</v>
      </c>
      <c r="G50" s="290" t="s">
        <v>125</v>
      </c>
    </row>
    <row r="51" spans="1:7" ht="16.5" customHeight="1">
      <c r="A51" s="945" t="s">
        <v>790</v>
      </c>
      <c r="B51" s="253" t="s">
        <v>132</v>
      </c>
      <c r="C51" s="275">
        <f ca="1">ROUND(C49*F50,0)</f>
        <v>55979</v>
      </c>
      <c r="D51" s="275"/>
      <c r="E51" s="275"/>
      <c r="F51" s="307"/>
      <c r="G51" s="277" t="s">
        <v>64</v>
      </c>
    </row>
    <row r="52" spans="1:7" s="251" customFormat="1" ht="16.5" thickBot="1">
      <c r="A52" s="308" t="s">
        <v>65</v>
      </c>
      <c r="B52" s="309"/>
      <c r="C52" s="310">
        <f ca="1">C31+C51</f>
        <v>86688</v>
      </c>
      <c r="D52" s="309"/>
      <c r="E52" s="309"/>
      <c r="F52" s="309"/>
      <c r="G52" s="311"/>
    </row>
    <row r="55" spans="1:7" ht="15">
      <c r="B55" s="313" t="s">
        <v>66</v>
      </c>
      <c r="C55" s="314"/>
    </row>
    <row r="56" spans="1:7">
      <c r="B56" s="316" t="s">
        <v>67</v>
      </c>
      <c r="C56" s="317">
        <f ca="1">ROUND(C51/C52,3)</f>
        <v>0.64600000000000002</v>
      </c>
    </row>
    <row r="57" spans="1:7">
      <c r="B57" s="316" t="s">
        <v>68</v>
      </c>
      <c r="C57" s="318">
        <f ca="1">1-C56</f>
        <v>0.35399999999999998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7" t="s">
        <v>156</v>
      </c>
      <c r="B1" s="3297"/>
      <c r="C1" s="3297"/>
      <c r="D1" s="3297"/>
      <c r="E1" s="3297"/>
      <c r="F1" s="329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8" t="s">
        <v>169</v>
      </c>
      <c r="B2" s="3298"/>
      <c r="C2" s="3298"/>
      <c r="D2" s="3298"/>
      <c r="E2" s="3298"/>
      <c r="F2" s="329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7" t="s">
        <v>868</v>
      </c>
      <c r="B1" s="3297"/>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8" t="s">
        <v>875</v>
      </c>
      <c r="B5" s="839" t="s">
        <v>876</v>
      </c>
      <c r="C5" s="1059">
        <v>8.8999999999999996E-2</v>
      </c>
      <c r="D5" s="1059">
        <v>7.3999999999999996E-2</v>
      </c>
      <c r="E5" s="1059">
        <v>7.4999999999999997E-2</v>
      </c>
      <c r="F5" s="1060">
        <v>0.1</v>
      </c>
    </row>
    <row r="6" spans="1:6" ht="14.25" thickBot="1">
      <c r="A6" s="838" t="s">
        <v>212</v>
      </c>
      <c r="B6" s="832" t="s">
        <v>877</v>
      </c>
      <c r="C6" s="1061">
        <v>0.1</v>
      </c>
      <c r="D6" s="1061">
        <v>9.0999999999999998E-2</v>
      </c>
      <c r="E6" s="1061">
        <v>9.0999999999999998E-2</v>
      </c>
      <c r="F6" s="1062">
        <v>0.1</v>
      </c>
    </row>
    <row r="7" spans="1:6" ht="14.25" thickBot="1">
      <c r="A7" s="838" t="s">
        <v>212</v>
      </c>
      <c r="B7" s="842" t="s">
        <v>201</v>
      </c>
      <c r="C7" s="1061">
        <v>8.5999999999999993E-2</v>
      </c>
      <c r="D7" s="1061">
        <v>9.6000000000000002E-2</v>
      </c>
      <c r="E7" s="1061">
        <v>7.5999999999999998E-2</v>
      </c>
      <c r="F7" s="1062">
        <v>0.1</v>
      </c>
    </row>
    <row r="8" spans="1:6" ht="14.25" thickBot="1">
      <c r="A8" s="838" t="s">
        <v>212</v>
      </c>
      <c r="B8" s="832" t="s">
        <v>213</v>
      </c>
      <c r="C8" s="1061">
        <v>9.9000000000000005E-2</v>
      </c>
      <c r="D8" s="1061">
        <v>9.8000000000000004E-2</v>
      </c>
      <c r="E8" s="1061">
        <v>9.8000000000000004E-2</v>
      </c>
      <c r="F8" s="1062">
        <v>0.1</v>
      </c>
    </row>
    <row r="9" spans="1:6" ht="14.25" thickBot="1">
      <c r="A9" s="848" t="s">
        <v>212</v>
      </c>
      <c r="B9" s="843" t="s">
        <v>225</v>
      </c>
      <c r="C9" s="1063">
        <v>0.05</v>
      </c>
      <c r="D9" s="1071"/>
      <c r="E9" s="1071"/>
      <c r="F9" s="1072"/>
    </row>
    <row r="10" spans="1:6" ht="14.25" thickBot="1">
      <c r="A10" s="838" t="s">
        <v>269</v>
      </c>
      <c r="B10" s="839" t="s">
        <v>878</v>
      </c>
      <c r="C10" s="1059">
        <v>8.8999999999999996E-2</v>
      </c>
      <c r="D10" s="1059">
        <v>7.2999999999999995E-2</v>
      </c>
      <c r="E10" s="1059">
        <v>8.2000000000000003E-2</v>
      </c>
      <c r="F10" s="1060">
        <v>0.1</v>
      </c>
    </row>
    <row r="11" spans="1:6" ht="14.25" thickBot="1">
      <c r="A11" s="838" t="s">
        <v>269</v>
      </c>
      <c r="B11" s="842" t="s">
        <v>188</v>
      </c>
      <c r="C11" s="1061">
        <v>8.8999999999999996E-2</v>
      </c>
      <c r="D11" s="1061">
        <v>7.2999999999999995E-2</v>
      </c>
      <c r="E11" s="1061">
        <v>8.2000000000000003E-2</v>
      </c>
      <c r="F11" s="1062">
        <v>0.1</v>
      </c>
    </row>
    <row r="12" spans="1:6" ht="14.25" thickBot="1">
      <c r="A12" s="838" t="s">
        <v>269</v>
      </c>
      <c r="B12" s="842" t="s">
        <v>138</v>
      </c>
      <c r="C12" s="1061">
        <v>6.0999999999999999E-2</v>
      </c>
      <c r="D12" s="1061">
        <v>7.0999999999999994E-2</v>
      </c>
      <c r="E12" s="1061">
        <v>9.6000000000000002E-2</v>
      </c>
      <c r="F12" s="1062">
        <v>0.1</v>
      </c>
    </row>
    <row r="13" spans="1:6" ht="14.25" thickBot="1">
      <c r="A13" s="838" t="s">
        <v>269</v>
      </c>
      <c r="B13" s="842" t="s">
        <v>214</v>
      </c>
      <c r="C13" s="1061">
        <v>6.9000000000000006E-2</v>
      </c>
      <c r="D13" s="1061">
        <v>6.5000000000000002E-2</v>
      </c>
      <c r="E13" s="1061">
        <v>6.6000000000000003E-2</v>
      </c>
      <c r="F13" s="1062">
        <v>0.1</v>
      </c>
    </row>
    <row r="14" spans="1:6" ht="14.25" thickBot="1">
      <c r="A14" s="838" t="s">
        <v>269</v>
      </c>
      <c r="B14" s="842" t="s">
        <v>226</v>
      </c>
      <c r="C14" s="1061">
        <v>0.1</v>
      </c>
      <c r="D14" s="1061">
        <v>6.5000000000000002E-2</v>
      </c>
      <c r="E14" s="1061">
        <v>7.0000000000000007E-2</v>
      </c>
      <c r="F14" s="1062">
        <v>0.1</v>
      </c>
    </row>
    <row r="15" spans="1:6" ht="14.25" thickBot="1">
      <c r="A15" s="838" t="s">
        <v>269</v>
      </c>
      <c r="B15" s="842" t="s">
        <v>237</v>
      </c>
      <c r="C15" s="1061">
        <v>9.8000000000000004E-2</v>
      </c>
      <c r="D15" s="1061">
        <v>8.8999999999999996E-2</v>
      </c>
      <c r="E15" s="1061">
        <v>8.8999999999999996E-2</v>
      </c>
      <c r="F15" s="1062">
        <v>0.1</v>
      </c>
    </row>
    <row r="16" spans="1:6" ht="14.25" thickBot="1">
      <c r="A16" s="838" t="s">
        <v>269</v>
      </c>
      <c r="B16" s="842" t="s">
        <v>248</v>
      </c>
      <c r="C16" s="1061">
        <v>7.0000000000000007E-2</v>
      </c>
      <c r="D16" s="1061">
        <v>9.2999999999999999E-2</v>
      </c>
      <c r="E16" s="1061">
        <v>9.6000000000000002E-2</v>
      </c>
      <c r="F16" s="1062">
        <v>0.1</v>
      </c>
    </row>
    <row r="17" spans="1:6" ht="14.25" thickBot="1">
      <c r="A17" s="838" t="s">
        <v>269</v>
      </c>
      <c r="B17" s="842" t="s">
        <v>259</v>
      </c>
      <c r="C17" s="1061">
        <v>9.5000000000000001E-2</v>
      </c>
      <c r="D17" s="1061">
        <v>0.1</v>
      </c>
      <c r="E17" s="1061">
        <v>0.1</v>
      </c>
      <c r="F17" s="1073"/>
    </row>
    <row r="18" spans="1:6" ht="14.25" thickBot="1">
      <c r="A18" s="838" t="s">
        <v>269</v>
      </c>
      <c r="B18" s="842" t="s">
        <v>271</v>
      </c>
      <c r="C18" s="1061">
        <v>7.3999999999999996E-2</v>
      </c>
      <c r="D18" s="1061">
        <v>9.9000000000000005E-2</v>
      </c>
      <c r="E18" s="1061">
        <v>0.1</v>
      </c>
      <c r="F18" s="1073"/>
    </row>
    <row r="19" spans="1:6" ht="14.25" thickBot="1">
      <c r="A19" s="838" t="s">
        <v>269</v>
      </c>
      <c r="B19" s="842" t="s">
        <v>281</v>
      </c>
      <c r="C19" s="1061">
        <v>9.9000000000000005E-2</v>
      </c>
      <c r="D19" s="1061">
        <v>7.5999999999999998E-2</v>
      </c>
      <c r="E19" s="1061">
        <v>8.6999999999999994E-2</v>
      </c>
      <c r="F19" s="1073"/>
    </row>
    <row r="20" spans="1:6" ht="14.25" thickBot="1">
      <c r="A20" s="838" t="s">
        <v>269</v>
      </c>
      <c r="B20" s="842" t="s">
        <v>291</v>
      </c>
      <c r="C20" s="1061">
        <v>9.8000000000000004E-2</v>
      </c>
      <c r="D20" s="1061">
        <v>8.5000000000000006E-2</v>
      </c>
      <c r="E20" s="1061">
        <v>8.2000000000000003E-2</v>
      </c>
      <c r="F20" s="1073"/>
    </row>
    <row r="21" spans="1:6" ht="14.25" thickBot="1">
      <c r="A21" s="838" t="s">
        <v>269</v>
      </c>
      <c r="B21" s="842" t="s">
        <v>301</v>
      </c>
      <c r="C21" s="1061">
        <v>6.6000000000000003E-2</v>
      </c>
      <c r="D21" s="1061">
        <v>6.4000000000000001E-2</v>
      </c>
      <c r="E21" s="1061">
        <v>6.5000000000000002E-2</v>
      </c>
      <c r="F21" s="1073"/>
    </row>
    <row r="22" spans="1:6" ht="14.25" thickBot="1">
      <c r="A22" s="838" t="s">
        <v>269</v>
      </c>
      <c r="B22" s="842" t="s">
        <v>879</v>
      </c>
      <c r="C22" s="1061">
        <v>0.08</v>
      </c>
      <c r="D22" s="1061">
        <v>9.8000000000000004E-2</v>
      </c>
      <c r="E22" s="1061">
        <v>9.8000000000000004E-2</v>
      </c>
      <c r="F22" s="1073"/>
    </row>
    <row r="23" spans="1:6" ht="14.25" thickBot="1">
      <c r="A23" s="838" t="s">
        <v>269</v>
      </c>
      <c r="B23" s="842" t="s">
        <v>322</v>
      </c>
      <c r="C23" s="1061">
        <v>9.9000000000000005E-2</v>
      </c>
      <c r="D23" s="1061">
        <v>9.8000000000000004E-2</v>
      </c>
      <c r="E23" s="1061">
        <v>9.0999999999999998E-2</v>
      </c>
      <c r="F23" s="1073"/>
    </row>
    <row r="24" spans="1:6" ht="14.25" thickBot="1">
      <c r="A24" s="838" t="s">
        <v>269</v>
      </c>
      <c r="B24" s="842" t="s">
        <v>333</v>
      </c>
      <c r="C24" s="1061">
        <v>8.8999999999999996E-2</v>
      </c>
      <c r="D24" s="1061">
        <v>9.7000000000000003E-2</v>
      </c>
      <c r="E24" s="1061">
        <v>7.0000000000000007E-2</v>
      </c>
      <c r="F24" s="1073"/>
    </row>
    <row r="25" spans="1:6" ht="14.25" thickBot="1">
      <c r="A25" s="838" t="s">
        <v>269</v>
      </c>
      <c r="B25" s="842" t="s">
        <v>343</v>
      </c>
      <c r="C25" s="1061">
        <v>8.8999999999999996E-2</v>
      </c>
      <c r="D25" s="1061">
        <v>0.1</v>
      </c>
      <c r="E25" s="1061">
        <v>8.1000000000000003E-2</v>
      </c>
      <c r="F25" s="1073"/>
    </row>
    <row r="26" spans="1:6" ht="14.25" thickBot="1">
      <c r="A26" s="838" t="s">
        <v>269</v>
      </c>
      <c r="B26" s="842" t="s">
        <v>353</v>
      </c>
      <c r="C26" s="1074"/>
      <c r="D26" s="1061">
        <v>9.6000000000000002E-2</v>
      </c>
      <c r="E26" s="1061">
        <v>9.2999999999999999E-2</v>
      </c>
      <c r="F26" s="1073"/>
    </row>
    <row r="27" spans="1:6" ht="14.25" thickBot="1">
      <c r="A27" s="838" t="s">
        <v>269</v>
      </c>
      <c r="B27" s="842" t="s">
        <v>363</v>
      </c>
      <c r="C27" s="1074"/>
      <c r="D27" s="1061">
        <v>7.5999999999999998E-2</v>
      </c>
      <c r="E27" s="1061">
        <v>9.1999999999999998E-2</v>
      </c>
      <c r="F27" s="1073"/>
    </row>
    <row r="28" spans="1:6" ht="14.25" thickBot="1">
      <c r="A28" s="848" t="s">
        <v>269</v>
      </c>
      <c r="B28" s="843" t="s">
        <v>373</v>
      </c>
      <c r="C28" s="1071"/>
      <c r="D28" s="1063">
        <v>7.5999999999999998E-2</v>
      </c>
      <c r="E28" s="1063">
        <v>9.1999999999999998E-2</v>
      </c>
      <c r="F28" s="1072"/>
    </row>
    <row r="29" spans="1:6" ht="14.25" thickBot="1">
      <c r="A29" s="838" t="s">
        <v>442</v>
      </c>
      <c r="B29" s="839" t="s">
        <v>880</v>
      </c>
      <c r="C29" s="1059">
        <v>6.4000000000000001E-2</v>
      </c>
      <c r="D29" s="1059">
        <v>6.5000000000000002E-2</v>
      </c>
      <c r="E29" s="1059">
        <v>6.9000000000000006E-2</v>
      </c>
      <c r="F29" s="1060">
        <v>0.1</v>
      </c>
    </row>
    <row r="30" spans="1:6" ht="14.25" thickBot="1">
      <c r="A30" s="838" t="s">
        <v>442</v>
      </c>
      <c r="B30" s="842" t="s">
        <v>189</v>
      </c>
      <c r="C30" s="1061">
        <v>6.4000000000000001E-2</v>
      </c>
      <c r="D30" s="1061">
        <v>9.9000000000000005E-2</v>
      </c>
      <c r="E30" s="1061">
        <v>0.1</v>
      </c>
      <c r="F30" s="1062">
        <v>0.1</v>
      </c>
    </row>
    <row r="31" spans="1:6" ht="14.25" thickBot="1">
      <c r="A31" s="838" t="s">
        <v>442</v>
      </c>
      <c r="B31" s="842" t="s">
        <v>202</v>
      </c>
      <c r="C31" s="1061">
        <v>0.1</v>
      </c>
      <c r="D31" s="1061">
        <v>9.5000000000000001E-2</v>
      </c>
      <c r="E31" s="1061">
        <v>8.8999999999999996E-2</v>
      </c>
      <c r="F31" s="1062">
        <v>0.1</v>
      </c>
    </row>
    <row r="32" spans="1:6" ht="14.25" thickBot="1">
      <c r="A32" s="838" t="s">
        <v>442</v>
      </c>
      <c r="B32" s="842" t="s">
        <v>215</v>
      </c>
      <c r="C32" s="1061">
        <v>0.05</v>
      </c>
      <c r="D32" s="1061">
        <v>0.05</v>
      </c>
      <c r="E32" s="1061">
        <v>8.7999999999999995E-2</v>
      </c>
      <c r="F32" s="1062">
        <v>0.1</v>
      </c>
    </row>
    <row r="33" spans="1:6" ht="14.25" thickBot="1">
      <c r="A33" s="838" t="s">
        <v>442</v>
      </c>
      <c r="B33" s="842" t="s">
        <v>227</v>
      </c>
      <c r="C33" s="1061">
        <v>7.4999999999999997E-2</v>
      </c>
      <c r="D33" s="1061">
        <v>9.4E-2</v>
      </c>
      <c r="E33" s="1061">
        <v>9.7000000000000003E-2</v>
      </c>
      <c r="F33" s="1062">
        <v>0.1</v>
      </c>
    </row>
    <row r="34" spans="1:6" ht="14.25" thickBot="1">
      <c r="A34" s="838" t="s">
        <v>442</v>
      </c>
      <c r="B34" s="842" t="s">
        <v>238</v>
      </c>
      <c r="C34" s="1061">
        <v>9.8000000000000004E-2</v>
      </c>
      <c r="D34" s="1061">
        <v>8.5999999999999993E-2</v>
      </c>
      <c r="E34" s="1061">
        <v>9.7000000000000003E-2</v>
      </c>
      <c r="F34" s="1062">
        <v>0.1</v>
      </c>
    </row>
    <row r="35" spans="1:6" ht="14.25" thickBot="1">
      <c r="A35" s="838" t="s">
        <v>442</v>
      </c>
      <c r="B35" s="842" t="s">
        <v>249</v>
      </c>
      <c r="C35" s="1061">
        <v>5.8999999999999997E-2</v>
      </c>
      <c r="D35" s="1061">
        <v>6.5000000000000002E-2</v>
      </c>
      <c r="E35" s="1061">
        <v>7.0000000000000007E-2</v>
      </c>
      <c r="F35" s="1062">
        <v>0.1</v>
      </c>
    </row>
    <row r="36" spans="1:6" ht="14.25" thickBot="1">
      <c r="A36" s="838" t="s">
        <v>442</v>
      </c>
      <c r="B36" s="842" t="s">
        <v>260</v>
      </c>
      <c r="C36" s="1061">
        <v>6.3E-2</v>
      </c>
      <c r="D36" s="1061">
        <v>0.1</v>
      </c>
      <c r="E36" s="1061">
        <v>0.1</v>
      </c>
      <c r="F36" s="1062">
        <v>0.1</v>
      </c>
    </row>
    <row r="37" spans="1:6" ht="14.25" thickBot="1">
      <c r="A37" s="838" t="s">
        <v>442</v>
      </c>
      <c r="B37" s="842" t="s">
        <v>272</v>
      </c>
      <c r="C37" s="1061">
        <v>7.3999999999999996E-2</v>
      </c>
      <c r="D37" s="1061">
        <v>0.1</v>
      </c>
      <c r="E37" s="1061">
        <v>0.1</v>
      </c>
      <c r="F37" s="1062">
        <v>0.1</v>
      </c>
    </row>
    <row r="38" spans="1:6" ht="14.25" thickBot="1">
      <c r="A38" s="838" t="s">
        <v>442</v>
      </c>
      <c r="B38" s="842" t="s">
        <v>282</v>
      </c>
      <c r="C38" s="1061">
        <v>0.1</v>
      </c>
      <c r="D38" s="1061">
        <v>9.6000000000000002E-2</v>
      </c>
      <c r="E38" s="1061">
        <v>9.6000000000000002E-2</v>
      </c>
      <c r="F38" s="1073"/>
    </row>
    <row r="39" spans="1:6" ht="14.25" thickBot="1">
      <c r="A39" s="838" t="s">
        <v>442</v>
      </c>
      <c r="B39" s="842" t="s">
        <v>292</v>
      </c>
      <c r="C39" s="1061">
        <v>0.1</v>
      </c>
      <c r="D39" s="1061">
        <v>9.6000000000000002E-2</v>
      </c>
      <c r="E39" s="1061">
        <v>9.6000000000000002E-2</v>
      </c>
      <c r="F39" s="1073"/>
    </row>
    <row r="40" spans="1:6" ht="14.25" thickBot="1">
      <c r="A40" s="838" t="s">
        <v>442</v>
      </c>
      <c r="B40" s="842" t="s">
        <v>302</v>
      </c>
      <c r="C40" s="1061">
        <v>9.6000000000000002E-2</v>
      </c>
      <c r="D40" s="1061">
        <v>0.1</v>
      </c>
      <c r="E40" s="1061">
        <v>9.9000000000000005E-2</v>
      </c>
      <c r="F40" s="1073"/>
    </row>
    <row r="41" spans="1:6" ht="14.25" thickBot="1">
      <c r="A41" s="838" t="s">
        <v>442</v>
      </c>
      <c r="B41" s="842" t="s">
        <v>312</v>
      </c>
      <c r="C41" s="1061">
        <v>9.6000000000000002E-2</v>
      </c>
      <c r="D41" s="1061">
        <v>9.8000000000000004E-2</v>
      </c>
      <c r="E41" s="1061">
        <v>9.8000000000000004E-2</v>
      </c>
      <c r="F41" s="1073"/>
    </row>
    <row r="42" spans="1:6" ht="14.25" thickBot="1">
      <c r="A42" s="838" t="s">
        <v>442</v>
      </c>
      <c r="B42" s="842" t="s">
        <v>323</v>
      </c>
      <c r="C42" s="1061">
        <v>0.1</v>
      </c>
      <c r="D42" s="1061">
        <v>8.7999999999999995E-2</v>
      </c>
      <c r="E42" s="1061">
        <v>0.1</v>
      </c>
      <c r="F42" s="1073"/>
    </row>
    <row r="43" spans="1:6" ht="14.25" thickBot="1">
      <c r="A43" s="838" t="s">
        <v>442</v>
      </c>
      <c r="B43" s="842" t="s">
        <v>334</v>
      </c>
      <c r="C43" s="1061">
        <v>9.8000000000000004E-2</v>
      </c>
      <c r="D43" s="1061">
        <v>9.7000000000000003E-2</v>
      </c>
      <c r="E43" s="1061">
        <v>9.6000000000000002E-2</v>
      </c>
      <c r="F43" s="1073"/>
    </row>
    <row r="44" spans="1:6" ht="14.25" thickBot="1">
      <c r="A44" s="838" t="s">
        <v>442</v>
      </c>
      <c r="B44" s="842" t="s">
        <v>344</v>
      </c>
      <c r="C44" s="1061">
        <v>8.5999999999999993E-2</v>
      </c>
      <c r="D44" s="1061">
        <v>7.9000000000000001E-2</v>
      </c>
      <c r="E44" s="1061">
        <v>7.0999999999999994E-2</v>
      </c>
      <c r="F44" s="1073"/>
    </row>
    <row r="45" spans="1:6" ht="14.25" thickBot="1">
      <c r="A45" s="838" t="s">
        <v>442</v>
      </c>
      <c r="B45" s="842" t="s">
        <v>354</v>
      </c>
      <c r="C45" s="1061">
        <v>9.8000000000000004E-2</v>
      </c>
      <c r="D45" s="1061">
        <v>9.6000000000000002E-2</v>
      </c>
      <c r="E45" s="1061">
        <v>9.6000000000000002E-2</v>
      </c>
      <c r="F45" s="1073"/>
    </row>
    <row r="46" spans="1:6" ht="14.25" thickBot="1">
      <c r="A46" s="838" t="s">
        <v>442</v>
      </c>
      <c r="B46" s="842" t="s">
        <v>364</v>
      </c>
      <c r="C46" s="1061">
        <v>8.5999999999999993E-2</v>
      </c>
      <c r="D46" s="1061">
        <v>9.8000000000000004E-2</v>
      </c>
      <c r="E46" s="1061">
        <v>8.7999999999999995E-2</v>
      </c>
      <c r="F46" s="1073"/>
    </row>
    <row r="47" spans="1:6" ht="14.25" thickBot="1">
      <c r="A47" s="838" t="s">
        <v>442</v>
      </c>
      <c r="B47" s="842" t="s">
        <v>374</v>
      </c>
      <c r="C47" s="1061">
        <v>9.6000000000000002E-2</v>
      </c>
      <c r="D47" s="1074"/>
      <c r="E47" s="1061">
        <v>6.9000000000000006E-2</v>
      </c>
      <c r="F47" s="1073"/>
    </row>
    <row r="48" spans="1:6" ht="14.25" thickBot="1">
      <c r="A48" s="848" t="s">
        <v>442</v>
      </c>
      <c r="B48" s="843" t="s">
        <v>383</v>
      </c>
      <c r="C48" s="1063">
        <v>9.8000000000000004E-2</v>
      </c>
      <c r="D48" s="1071"/>
      <c r="E48" s="1063">
        <v>9.5000000000000001E-2</v>
      </c>
      <c r="F48" s="1072"/>
    </row>
    <row r="49" spans="1:6" ht="14.25" thickBot="1">
      <c r="A49" s="838" t="s">
        <v>137</v>
      </c>
      <c r="B49" s="839" t="s">
        <v>881</v>
      </c>
      <c r="C49" s="1059">
        <v>9.7000000000000003E-2</v>
      </c>
      <c r="D49" s="1059">
        <v>9.5000000000000001E-2</v>
      </c>
      <c r="E49" s="1059">
        <v>9.7000000000000003E-2</v>
      </c>
      <c r="F49" s="1060">
        <v>0.1</v>
      </c>
    </row>
    <row r="50" spans="1:6" ht="14.25" thickBot="1">
      <c r="A50" s="838" t="s">
        <v>137</v>
      </c>
      <c r="B50" s="832" t="s">
        <v>190</v>
      </c>
      <c r="C50" s="1061">
        <v>7.4999999999999997E-2</v>
      </c>
      <c r="D50" s="1061">
        <v>9.5000000000000001E-2</v>
      </c>
      <c r="E50" s="1061">
        <v>0.1</v>
      </c>
      <c r="F50" s="1062">
        <v>0.1</v>
      </c>
    </row>
    <row r="51" spans="1:6" ht="14.25" thickBot="1">
      <c r="A51" s="838" t="s">
        <v>137</v>
      </c>
      <c r="B51" s="832" t="s">
        <v>203</v>
      </c>
      <c r="C51" s="1061">
        <v>9.8000000000000004E-2</v>
      </c>
      <c r="D51" s="1061">
        <v>8.8999999999999996E-2</v>
      </c>
      <c r="E51" s="1061">
        <v>0.1</v>
      </c>
      <c r="F51" s="1062">
        <v>0.1</v>
      </c>
    </row>
    <row r="52" spans="1:6" ht="14.25" thickBot="1">
      <c r="A52" s="838" t="s">
        <v>137</v>
      </c>
      <c r="B52" s="832" t="s">
        <v>216</v>
      </c>
      <c r="C52" s="1061">
        <v>9.8000000000000004E-2</v>
      </c>
      <c r="D52" s="1061">
        <v>9.7000000000000003E-2</v>
      </c>
      <c r="E52" s="1061">
        <v>8.1000000000000003E-2</v>
      </c>
      <c r="F52" s="1062">
        <v>0.1</v>
      </c>
    </row>
    <row r="53" spans="1:6" ht="14.25" thickBot="1">
      <c r="A53" s="838" t="s">
        <v>137</v>
      </c>
      <c r="B53" s="832" t="s">
        <v>228</v>
      </c>
      <c r="C53" s="1061">
        <v>9.7000000000000003E-2</v>
      </c>
      <c r="D53" s="1061">
        <v>7.5999999999999998E-2</v>
      </c>
      <c r="E53" s="1061">
        <v>7.0999999999999994E-2</v>
      </c>
      <c r="F53" s="1062">
        <v>0.1</v>
      </c>
    </row>
    <row r="54" spans="1:6" ht="14.25" thickBot="1">
      <c r="A54" s="838" t="s">
        <v>137</v>
      </c>
      <c r="B54" s="832" t="s">
        <v>239</v>
      </c>
      <c r="C54" s="1061">
        <v>7.5999999999999998E-2</v>
      </c>
      <c r="D54" s="1061">
        <v>0.1</v>
      </c>
      <c r="E54" s="1061">
        <v>9.9000000000000005E-2</v>
      </c>
      <c r="F54" s="1062">
        <v>0.1</v>
      </c>
    </row>
    <row r="55" spans="1:6" ht="14.25" thickBot="1">
      <c r="A55" s="838" t="s">
        <v>137</v>
      </c>
      <c r="B55" s="832" t="s">
        <v>250</v>
      </c>
      <c r="C55" s="1061">
        <v>0.1</v>
      </c>
      <c r="D55" s="1061">
        <v>0.1</v>
      </c>
      <c r="E55" s="1061">
        <v>9.6000000000000002E-2</v>
      </c>
      <c r="F55" s="1062">
        <v>0.1</v>
      </c>
    </row>
    <row r="56" spans="1:6" ht="14.25" thickBot="1">
      <c r="A56" s="838" t="s">
        <v>137</v>
      </c>
      <c r="B56" s="832" t="s">
        <v>261</v>
      </c>
      <c r="C56" s="1061">
        <v>0.1</v>
      </c>
      <c r="D56" s="1061">
        <v>9.6000000000000002E-2</v>
      </c>
      <c r="E56" s="1061">
        <v>5.1999999999999998E-2</v>
      </c>
      <c r="F56" s="1062">
        <v>0.1</v>
      </c>
    </row>
    <row r="57" spans="1:6" ht="14.25" thickBot="1">
      <c r="A57" s="838" t="s">
        <v>137</v>
      </c>
      <c r="B57" s="832" t="s">
        <v>273</v>
      </c>
      <c r="C57" s="1061">
        <v>9.7000000000000003E-2</v>
      </c>
      <c r="D57" s="1061">
        <v>9.6000000000000002E-2</v>
      </c>
      <c r="E57" s="1061">
        <v>9.6000000000000002E-2</v>
      </c>
      <c r="F57" s="1062">
        <v>0.1</v>
      </c>
    </row>
    <row r="58" spans="1:6" ht="14.25" thickBot="1">
      <c r="A58" s="838" t="s">
        <v>137</v>
      </c>
      <c r="B58" s="832" t="s">
        <v>283</v>
      </c>
      <c r="C58" s="1061">
        <v>9.6000000000000002E-2</v>
      </c>
      <c r="D58" s="1061">
        <v>9.9000000000000005E-2</v>
      </c>
      <c r="E58" s="1061">
        <v>9.6000000000000002E-2</v>
      </c>
      <c r="F58" s="1062">
        <v>0.1</v>
      </c>
    </row>
    <row r="59" spans="1:6" ht="14.25" thickBot="1">
      <c r="A59" s="838" t="s">
        <v>137</v>
      </c>
      <c r="B59" s="832" t="s">
        <v>293</v>
      </c>
      <c r="C59" s="1061">
        <v>7.1999999999999995E-2</v>
      </c>
      <c r="D59" s="1061">
        <v>9.6000000000000002E-2</v>
      </c>
      <c r="E59" s="1061">
        <v>7.0999999999999994E-2</v>
      </c>
      <c r="F59" s="1062">
        <v>0.1</v>
      </c>
    </row>
    <row r="60" spans="1:6" ht="14.25" thickBot="1">
      <c r="A60" s="838" t="s">
        <v>137</v>
      </c>
      <c r="B60" s="832" t="s">
        <v>303</v>
      </c>
      <c r="C60" s="1061">
        <v>9.6000000000000002E-2</v>
      </c>
      <c r="D60" s="1061">
        <v>8.8999999999999996E-2</v>
      </c>
      <c r="E60" s="1061">
        <v>9.6000000000000002E-2</v>
      </c>
      <c r="F60" s="1062">
        <v>0.1</v>
      </c>
    </row>
    <row r="61" spans="1:6" ht="14.25" thickBot="1">
      <c r="A61" s="838" t="s">
        <v>137</v>
      </c>
      <c r="B61" s="832" t="s">
        <v>313</v>
      </c>
      <c r="C61" s="1061">
        <v>8.8999999999999996E-2</v>
      </c>
      <c r="D61" s="1061">
        <v>9.8000000000000004E-2</v>
      </c>
      <c r="E61" s="1061">
        <v>8.7999999999999995E-2</v>
      </c>
      <c r="F61" s="1073"/>
    </row>
    <row r="62" spans="1:6" ht="14.25" thickBot="1">
      <c r="A62" s="838" t="s">
        <v>137</v>
      </c>
      <c r="B62" s="832" t="s">
        <v>324</v>
      </c>
      <c r="C62" s="1061">
        <v>9.8000000000000004E-2</v>
      </c>
      <c r="D62" s="1061">
        <v>9.2999999999999999E-2</v>
      </c>
      <c r="E62" s="1061">
        <v>9.7000000000000003E-2</v>
      </c>
      <c r="F62" s="1073"/>
    </row>
    <row r="63" spans="1:6" ht="14.25" thickBot="1">
      <c r="A63" s="838" t="s">
        <v>137</v>
      </c>
      <c r="B63" s="832" t="s">
        <v>335</v>
      </c>
      <c r="C63" s="1061">
        <v>9.6000000000000002E-2</v>
      </c>
      <c r="D63" s="1061">
        <v>9.8000000000000004E-2</v>
      </c>
      <c r="E63" s="1061">
        <v>0.09</v>
      </c>
      <c r="F63" s="1073"/>
    </row>
    <row r="64" spans="1:6" ht="14.25" thickBot="1">
      <c r="A64" s="838" t="s">
        <v>137</v>
      </c>
      <c r="B64" s="832" t="s">
        <v>345</v>
      </c>
      <c r="C64" s="1061">
        <v>9.9000000000000005E-2</v>
      </c>
      <c r="D64" s="1061">
        <v>9.7000000000000003E-2</v>
      </c>
      <c r="E64" s="1061">
        <v>9.9000000000000005E-2</v>
      </c>
      <c r="F64" s="1073"/>
    </row>
    <row r="65" spans="1:6" ht="14.25" thickBot="1">
      <c r="A65" s="838" t="s">
        <v>137</v>
      </c>
      <c r="B65" s="832" t="s">
        <v>355</v>
      </c>
      <c r="C65" s="1061">
        <v>9.8000000000000004E-2</v>
      </c>
      <c r="D65" s="1061">
        <v>9.6000000000000002E-2</v>
      </c>
      <c r="E65" s="1061">
        <v>9.6000000000000002E-2</v>
      </c>
      <c r="F65" s="1073"/>
    </row>
    <row r="66" spans="1:6" ht="14.25" thickBot="1">
      <c r="A66" s="838" t="s">
        <v>137</v>
      </c>
      <c r="B66" s="832" t="s">
        <v>365</v>
      </c>
      <c r="C66" s="1061">
        <v>9.6000000000000002E-2</v>
      </c>
      <c r="D66" s="1061">
        <v>9.1999999999999998E-2</v>
      </c>
      <c r="E66" s="1061">
        <v>9.6000000000000002E-2</v>
      </c>
      <c r="F66" s="1073"/>
    </row>
    <row r="67" spans="1:6" ht="14.25" thickBot="1">
      <c r="A67" s="838" t="s">
        <v>137</v>
      </c>
      <c r="B67" s="832" t="s">
        <v>375</v>
      </c>
      <c r="C67" s="1061">
        <v>9.4E-2</v>
      </c>
      <c r="D67" s="1061">
        <v>0.1</v>
      </c>
      <c r="E67" s="1061">
        <v>8.7999999999999995E-2</v>
      </c>
      <c r="F67" s="1073"/>
    </row>
    <row r="68" spans="1:6" ht="14.25" thickBot="1">
      <c r="A68" s="838" t="s">
        <v>137</v>
      </c>
      <c r="B68" s="832" t="s">
        <v>384</v>
      </c>
      <c r="C68" s="1061">
        <v>0.1</v>
      </c>
      <c r="D68" s="1061">
        <v>8.7999999999999995E-2</v>
      </c>
      <c r="E68" s="1061">
        <v>9.7000000000000003E-2</v>
      </c>
      <c r="F68" s="1073"/>
    </row>
    <row r="69" spans="1:6" ht="14.25" thickBot="1">
      <c r="A69" s="838" t="s">
        <v>137</v>
      </c>
      <c r="B69" s="832" t="s">
        <v>393</v>
      </c>
      <c r="C69" s="1061">
        <v>6.4000000000000001E-2</v>
      </c>
      <c r="D69" s="1061">
        <v>0.1</v>
      </c>
      <c r="E69" s="1061">
        <v>0.1</v>
      </c>
      <c r="F69" s="1073"/>
    </row>
    <row r="70" spans="1:6" ht="14.25" thickBot="1">
      <c r="A70" s="838" t="s">
        <v>137</v>
      </c>
      <c r="B70" s="832" t="s">
        <v>401</v>
      </c>
      <c r="C70" s="1061">
        <v>9.0999999999999998E-2</v>
      </c>
      <c r="D70" s="1074"/>
      <c r="E70" s="1074"/>
      <c r="F70" s="1073"/>
    </row>
    <row r="71" spans="1:6" ht="14.25" thickBot="1">
      <c r="A71" s="838" t="s">
        <v>137</v>
      </c>
      <c r="B71" s="832" t="s">
        <v>408</v>
      </c>
      <c r="C71" s="1061">
        <v>0.1</v>
      </c>
      <c r="D71" s="1074"/>
      <c r="E71" s="1074"/>
      <c r="F71" s="1073"/>
    </row>
    <row r="72" spans="1:6" ht="14.25" thickBot="1">
      <c r="A72" s="838" t="s">
        <v>137</v>
      </c>
      <c r="B72" s="832" t="s">
        <v>882</v>
      </c>
      <c r="C72" s="1074"/>
      <c r="D72" s="1074"/>
      <c r="E72" s="1074"/>
      <c r="F72" s="1062">
        <v>0.05</v>
      </c>
    </row>
    <row r="73" spans="1:6" ht="14.25" thickBot="1">
      <c r="A73" s="838" t="s">
        <v>137</v>
      </c>
      <c r="B73" s="832" t="s">
        <v>883</v>
      </c>
      <c r="C73" s="1074"/>
      <c r="D73" s="1074"/>
      <c r="E73" s="1074"/>
      <c r="F73" s="1062">
        <v>0.05</v>
      </c>
    </row>
    <row r="74" spans="1:6" ht="14.25" thickBot="1">
      <c r="A74" s="838" t="s">
        <v>137</v>
      </c>
      <c r="B74" s="832" t="s">
        <v>884</v>
      </c>
      <c r="C74" s="1074"/>
      <c r="D74" s="1074"/>
      <c r="E74" s="1074"/>
      <c r="F74" s="1062">
        <v>0.05</v>
      </c>
    </row>
    <row r="75" spans="1:6" ht="14.25" thickBot="1">
      <c r="A75" s="848" t="s">
        <v>137</v>
      </c>
      <c r="B75" s="844" t="s">
        <v>885</v>
      </c>
      <c r="C75" s="1071"/>
      <c r="D75" s="1071"/>
      <c r="E75" s="1071"/>
      <c r="F75" s="1064">
        <v>0.05</v>
      </c>
    </row>
    <row r="76" spans="1:6" ht="14.25" thickBot="1">
      <c r="A76" s="838" t="s">
        <v>523</v>
      </c>
      <c r="B76" s="839" t="s">
        <v>886</v>
      </c>
      <c r="C76" s="1059">
        <v>0.1</v>
      </c>
      <c r="D76" s="1059">
        <v>0.1</v>
      </c>
      <c r="E76" s="1059">
        <v>0.1</v>
      </c>
      <c r="F76" s="1060">
        <v>0.1</v>
      </c>
    </row>
    <row r="77" spans="1:6" ht="14.25" thickBot="1">
      <c r="A77" s="838" t="s">
        <v>523</v>
      </c>
      <c r="B77" s="832" t="s">
        <v>191</v>
      </c>
      <c r="C77" s="1061">
        <v>8.7999999999999995E-2</v>
      </c>
      <c r="D77" s="1061">
        <v>8.6999999999999994E-2</v>
      </c>
      <c r="E77" s="1061">
        <v>7.9000000000000001E-2</v>
      </c>
      <c r="F77" s="1062">
        <v>0.1</v>
      </c>
    </row>
    <row r="78" spans="1:6" ht="14.25" thickBot="1">
      <c r="A78" s="838" t="s">
        <v>523</v>
      </c>
      <c r="B78" s="832" t="s">
        <v>204</v>
      </c>
      <c r="C78" s="1061">
        <v>8.6999999999999994E-2</v>
      </c>
      <c r="D78" s="1061">
        <v>8.4000000000000005E-2</v>
      </c>
      <c r="E78" s="1061">
        <v>9.6000000000000002E-2</v>
      </c>
      <c r="F78" s="1062">
        <v>0.1</v>
      </c>
    </row>
    <row r="79" spans="1:6" ht="14.25" thickBot="1">
      <c r="A79" s="838" t="s">
        <v>523</v>
      </c>
      <c r="B79" s="832" t="s">
        <v>217</v>
      </c>
      <c r="C79" s="1061">
        <v>9.8000000000000004E-2</v>
      </c>
      <c r="D79" s="1061">
        <v>9.8000000000000004E-2</v>
      </c>
      <c r="E79" s="1061">
        <v>9.0999999999999998E-2</v>
      </c>
      <c r="F79" s="1062">
        <v>0.1</v>
      </c>
    </row>
    <row r="80" spans="1:6" ht="14.25" thickBot="1">
      <c r="A80" s="838" t="s">
        <v>523</v>
      </c>
      <c r="B80" s="832" t="s">
        <v>229</v>
      </c>
      <c r="C80" s="1061">
        <v>9.6000000000000002E-2</v>
      </c>
      <c r="D80" s="1061">
        <v>9.6000000000000002E-2</v>
      </c>
      <c r="E80" s="1061">
        <v>0.1</v>
      </c>
      <c r="F80" s="1062">
        <v>0.1</v>
      </c>
    </row>
    <row r="81" spans="1:6" ht="14.25" thickBot="1">
      <c r="A81" s="838" t="s">
        <v>523</v>
      </c>
      <c r="B81" s="832" t="s">
        <v>240</v>
      </c>
      <c r="C81" s="1061">
        <v>9.9000000000000005E-2</v>
      </c>
      <c r="D81" s="1061">
        <v>9.9000000000000005E-2</v>
      </c>
      <c r="E81" s="1061">
        <v>9.8000000000000004E-2</v>
      </c>
      <c r="F81" s="1062">
        <v>0.1</v>
      </c>
    </row>
    <row r="82" spans="1:6" ht="14.25" thickBot="1">
      <c r="A82" s="838" t="s">
        <v>523</v>
      </c>
      <c r="B82" s="832" t="s">
        <v>251</v>
      </c>
      <c r="C82" s="1061">
        <v>9.9000000000000005E-2</v>
      </c>
      <c r="D82" s="1061">
        <v>9.9000000000000005E-2</v>
      </c>
      <c r="E82" s="1061">
        <v>9.7000000000000003E-2</v>
      </c>
      <c r="F82" s="1062">
        <v>0.1</v>
      </c>
    </row>
    <row r="83" spans="1:6" ht="14.25" thickBot="1">
      <c r="A83" s="838" t="s">
        <v>523</v>
      </c>
      <c r="B83" s="832" t="s">
        <v>262</v>
      </c>
      <c r="C83" s="1061">
        <v>9.8000000000000004E-2</v>
      </c>
      <c r="D83" s="1061">
        <v>9.8000000000000004E-2</v>
      </c>
      <c r="E83" s="1061">
        <v>9.8000000000000004E-2</v>
      </c>
      <c r="F83" s="1062">
        <v>0.1</v>
      </c>
    </row>
    <row r="84" spans="1:6" ht="14.25" thickBot="1">
      <c r="A84" s="838" t="s">
        <v>523</v>
      </c>
      <c r="B84" s="832" t="s">
        <v>274</v>
      </c>
      <c r="C84" s="1061">
        <v>9.9000000000000005E-2</v>
      </c>
      <c r="D84" s="1061">
        <v>9.9000000000000005E-2</v>
      </c>
      <c r="E84" s="1061">
        <v>9.9000000000000005E-2</v>
      </c>
      <c r="F84" s="1062">
        <v>0.1</v>
      </c>
    </row>
    <row r="85" spans="1:6" ht="14.25" thickBot="1">
      <c r="A85" s="838" t="s">
        <v>523</v>
      </c>
      <c r="B85" s="832" t="s">
        <v>284</v>
      </c>
      <c r="C85" s="1061">
        <v>9.9000000000000005E-2</v>
      </c>
      <c r="D85" s="1061">
        <v>9.9000000000000005E-2</v>
      </c>
      <c r="E85" s="1061">
        <v>9.9000000000000005E-2</v>
      </c>
      <c r="F85" s="1062">
        <v>0.1</v>
      </c>
    </row>
    <row r="86" spans="1:6" ht="14.25" thickBot="1">
      <c r="A86" s="838" t="s">
        <v>523</v>
      </c>
      <c r="B86" s="832" t="s">
        <v>294</v>
      </c>
      <c r="C86" s="1061">
        <v>0.1</v>
      </c>
      <c r="D86" s="1061">
        <v>0.1</v>
      </c>
      <c r="E86" s="1061">
        <v>7.6999999999999999E-2</v>
      </c>
      <c r="F86" s="1062">
        <v>0.1</v>
      </c>
    </row>
    <row r="87" spans="1:6" ht="14.25" thickBot="1">
      <c r="A87" s="838" t="s">
        <v>523</v>
      </c>
      <c r="B87" s="832" t="s">
        <v>304</v>
      </c>
      <c r="C87" s="1061">
        <v>0.1</v>
      </c>
      <c r="D87" s="1061">
        <v>0.1</v>
      </c>
      <c r="E87" s="1061">
        <v>9.8000000000000004E-2</v>
      </c>
      <c r="F87" s="1073"/>
    </row>
    <row r="88" spans="1:6" ht="14.25" thickBot="1">
      <c r="A88" s="838" t="s">
        <v>523</v>
      </c>
      <c r="B88" s="832" t="s">
        <v>314</v>
      </c>
      <c r="C88" s="1061">
        <v>9.1999999999999998E-2</v>
      </c>
      <c r="D88" s="1061">
        <v>8.5000000000000006E-2</v>
      </c>
      <c r="E88" s="1061">
        <v>9.6000000000000002E-2</v>
      </c>
      <c r="F88" s="1073"/>
    </row>
    <row r="89" spans="1:6" ht="14.25" thickBot="1">
      <c r="A89" s="838" t="s">
        <v>523</v>
      </c>
      <c r="B89" s="832" t="s">
        <v>325</v>
      </c>
      <c r="C89" s="1061">
        <v>0.1</v>
      </c>
      <c r="D89" s="1061">
        <v>0.1</v>
      </c>
      <c r="E89" s="1061">
        <v>9.7000000000000003E-2</v>
      </c>
      <c r="F89" s="1073"/>
    </row>
    <row r="90" spans="1:6" ht="14.25" thickBot="1">
      <c r="A90" s="838" t="s">
        <v>523</v>
      </c>
      <c r="B90" s="832" t="s">
        <v>336</v>
      </c>
      <c r="C90" s="1061">
        <v>9.8000000000000004E-2</v>
      </c>
      <c r="D90" s="1061">
        <v>9.8000000000000004E-2</v>
      </c>
      <c r="E90" s="1061">
        <v>8.7999999999999995E-2</v>
      </c>
      <c r="F90" s="1073"/>
    </row>
    <row r="91" spans="1:6" ht="14.25" thickBot="1">
      <c r="A91" s="838" t="s">
        <v>523</v>
      </c>
      <c r="B91" s="832" t="s">
        <v>346</v>
      </c>
      <c r="C91" s="1061">
        <v>9.9000000000000005E-2</v>
      </c>
      <c r="D91" s="1061">
        <v>9.9000000000000005E-2</v>
      </c>
      <c r="E91" s="1061">
        <v>9.0999999999999998E-2</v>
      </c>
      <c r="F91" s="1073"/>
    </row>
    <row r="92" spans="1:6" ht="14.25" thickBot="1">
      <c r="A92" s="838" t="s">
        <v>523</v>
      </c>
      <c r="B92" s="832" t="s">
        <v>356</v>
      </c>
      <c r="C92" s="1061">
        <v>9.6000000000000002E-2</v>
      </c>
      <c r="D92" s="1061">
        <v>9.6000000000000002E-2</v>
      </c>
      <c r="E92" s="1061">
        <v>7.2999999999999995E-2</v>
      </c>
      <c r="F92" s="1073"/>
    </row>
    <row r="93" spans="1:6" ht="14.25" thickBot="1">
      <c r="A93" s="838" t="s">
        <v>523</v>
      </c>
      <c r="B93" s="832" t="s">
        <v>366</v>
      </c>
      <c r="C93" s="1061">
        <v>9.6000000000000002E-2</v>
      </c>
      <c r="D93" s="1061">
        <v>9.6000000000000002E-2</v>
      </c>
      <c r="E93" s="1061">
        <v>9.9000000000000005E-2</v>
      </c>
      <c r="F93" s="1073"/>
    </row>
    <row r="94" spans="1:6" ht="14.25" thickBot="1">
      <c r="A94" s="838" t="s">
        <v>523</v>
      </c>
      <c r="B94" s="832" t="s">
        <v>376</v>
      </c>
      <c r="C94" s="1061">
        <v>7.5999999999999998E-2</v>
      </c>
      <c r="D94" s="1061">
        <v>7.3999999999999996E-2</v>
      </c>
      <c r="E94" s="1061">
        <v>9.7000000000000003E-2</v>
      </c>
      <c r="F94" s="1073"/>
    </row>
    <row r="95" spans="1:6" ht="14.25" thickBot="1">
      <c r="A95" s="838" t="s">
        <v>523</v>
      </c>
      <c r="B95" s="832" t="s">
        <v>385</v>
      </c>
      <c r="C95" s="1061">
        <v>9.9000000000000005E-2</v>
      </c>
      <c r="D95" s="1061">
        <v>9.4E-2</v>
      </c>
      <c r="E95" s="1061">
        <v>9.6000000000000002E-2</v>
      </c>
      <c r="F95" s="1073"/>
    </row>
    <row r="96" spans="1:6" ht="14.25" thickBot="1">
      <c r="A96" s="838" t="s">
        <v>523</v>
      </c>
      <c r="B96" s="832" t="s">
        <v>394</v>
      </c>
      <c r="C96" s="1061">
        <v>9.9000000000000005E-2</v>
      </c>
      <c r="D96" s="1061">
        <v>9.9000000000000005E-2</v>
      </c>
      <c r="E96" s="1061">
        <v>9.9000000000000005E-2</v>
      </c>
      <c r="F96" s="1073"/>
    </row>
    <row r="97" spans="1:6" ht="14.25" thickBot="1">
      <c r="A97" s="838" t="s">
        <v>523</v>
      </c>
      <c r="B97" s="832" t="s">
        <v>402</v>
      </c>
      <c r="C97" s="1061">
        <v>9.8000000000000004E-2</v>
      </c>
      <c r="D97" s="1061">
        <v>9.8000000000000004E-2</v>
      </c>
      <c r="E97" s="1061">
        <v>9.7000000000000003E-2</v>
      </c>
      <c r="F97" s="1073"/>
    </row>
    <row r="98" spans="1:6" ht="14.25" thickBot="1">
      <c r="A98" s="838" t="s">
        <v>523</v>
      </c>
      <c r="B98" s="832" t="s">
        <v>409</v>
      </c>
      <c r="C98" s="1061">
        <v>0.1</v>
      </c>
      <c r="D98" s="1061">
        <v>0.1</v>
      </c>
      <c r="E98" s="1061">
        <v>9.7000000000000003E-2</v>
      </c>
      <c r="F98" s="1073"/>
    </row>
    <row r="99" spans="1:6" ht="14.25" thickBot="1">
      <c r="A99" s="838" t="s">
        <v>523</v>
      </c>
      <c r="B99" s="832" t="s">
        <v>416</v>
      </c>
      <c r="C99" s="1061">
        <v>0.1</v>
      </c>
      <c r="D99" s="1061">
        <v>0.1</v>
      </c>
      <c r="E99" s="1074"/>
      <c r="F99" s="1073"/>
    </row>
    <row r="100" spans="1:6" ht="14.25" thickBot="1">
      <c r="A100" s="838" t="s">
        <v>523</v>
      </c>
      <c r="B100" s="832" t="s">
        <v>423</v>
      </c>
      <c r="C100" s="1061">
        <v>0.09</v>
      </c>
      <c r="D100" s="1061">
        <v>8.8999999999999996E-2</v>
      </c>
      <c r="E100" s="1074"/>
      <c r="F100" s="1073"/>
    </row>
    <row r="101" spans="1:6" ht="14.25" thickBot="1">
      <c r="A101" s="838" t="s">
        <v>523</v>
      </c>
      <c r="B101" s="832" t="s">
        <v>430</v>
      </c>
      <c r="C101" s="1061">
        <v>9.8000000000000004E-2</v>
      </c>
      <c r="D101" s="1061">
        <v>9.7000000000000003E-2</v>
      </c>
      <c r="E101" s="1074"/>
      <c r="F101" s="1073"/>
    </row>
    <row r="102" spans="1:6" ht="14.25" thickBot="1">
      <c r="A102" s="838" t="s">
        <v>523</v>
      </c>
      <c r="B102" s="832" t="s">
        <v>887</v>
      </c>
      <c r="C102" s="1074"/>
      <c r="D102" s="1074"/>
      <c r="E102" s="1074"/>
      <c r="F102" s="1062">
        <v>0.05</v>
      </c>
    </row>
    <row r="103" spans="1:6" ht="24.75" thickBot="1">
      <c r="A103" s="838" t="s">
        <v>523</v>
      </c>
      <c r="B103" s="832" t="s">
        <v>888</v>
      </c>
      <c r="C103" s="1074"/>
      <c r="D103" s="1074"/>
      <c r="E103" s="1074"/>
      <c r="F103" s="1062">
        <v>0.05</v>
      </c>
    </row>
    <row r="104" spans="1:6" ht="14.25" thickBot="1">
      <c r="A104" s="838" t="s">
        <v>523</v>
      </c>
      <c r="B104" s="832" t="s">
        <v>889</v>
      </c>
      <c r="C104" s="1074"/>
      <c r="D104" s="1074"/>
      <c r="E104" s="1074"/>
      <c r="F104" s="1062">
        <v>0.05</v>
      </c>
    </row>
    <row r="105" spans="1:6" ht="14.25" thickBot="1">
      <c r="A105" s="838" t="s">
        <v>523</v>
      </c>
      <c r="B105" s="832" t="s">
        <v>890</v>
      </c>
      <c r="C105" s="1074"/>
      <c r="D105" s="1074"/>
      <c r="E105" s="1074"/>
      <c r="F105" s="1062">
        <v>0.05</v>
      </c>
    </row>
    <row r="106" spans="1:6" ht="14.25" thickBot="1">
      <c r="A106" s="838" t="s">
        <v>523</v>
      </c>
      <c r="B106" s="832" t="s">
        <v>891</v>
      </c>
      <c r="C106" s="1074"/>
      <c r="D106" s="1074"/>
      <c r="E106" s="1074"/>
      <c r="F106" s="1062">
        <v>0.05</v>
      </c>
    </row>
    <row r="107" spans="1:6" ht="24.75" thickBot="1">
      <c r="A107" s="838" t="s">
        <v>523</v>
      </c>
      <c r="B107" s="832" t="s">
        <v>892</v>
      </c>
      <c r="C107" s="1074"/>
      <c r="D107" s="1074"/>
      <c r="E107" s="1074"/>
      <c r="F107" s="1062">
        <v>0.05</v>
      </c>
    </row>
    <row r="108" spans="1:6" ht="24.75" thickBot="1">
      <c r="A108" s="838" t="s">
        <v>523</v>
      </c>
      <c r="B108" s="832" t="s">
        <v>893</v>
      </c>
      <c r="C108" s="1074"/>
      <c r="D108" s="1074"/>
      <c r="E108" s="1074"/>
      <c r="F108" s="1062">
        <v>0.05</v>
      </c>
    </row>
    <row r="109" spans="1:6" ht="24.75" thickBot="1">
      <c r="A109" s="848" t="s">
        <v>523</v>
      </c>
      <c r="B109" s="844" t="s">
        <v>894</v>
      </c>
      <c r="C109" s="1071"/>
      <c r="D109" s="1071"/>
      <c r="E109" s="1071"/>
      <c r="F109" s="1064">
        <v>0.05</v>
      </c>
    </row>
    <row r="110" spans="1:6" ht="14.25" thickBot="1">
      <c r="A110" s="838" t="s">
        <v>56</v>
      </c>
      <c r="B110" s="839" t="s">
        <v>895</v>
      </c>
      <c r="C110" s="1059">
        <v>0.129</v>
      </c>
      <c r="D110" s="1059">
        <v>0.129</v>
      </c>
      <c r="E110" s="1059">
        <v>0.126</v>
      </c>
      <c r="F110" s="1060">
        <v>0.13</v>
      </c>
    </row>
    <row r="111" spans="1:6" ht="14.25" thickBot="1">
      <c r="A111" s="838" t="s">
        <v>56</v>
      </c>
      <c r="B111" s="832" t="s">
        <v>192</v>
      </c>
      <c r="C111" s="1061">
        <v>0.11</v>
      </c>
      <c r="D111" s="1061">
        <v>0.11</v>
      </c>
      <c r="E111" s="1061">
        <v>9.9000000000000005E-2</v>
      </c>
      <c r="F111" s="1062">
        <v>0.128</v>
      </c>
    </row>
    <row r="112" spans="1:6" ht="14.25" thickBot="1">
      <c r="A112" s="838" t="s">
        <v>56</v>
      </c>
      <c r="B112" s="832" t="s">
        <v>205</v>
      </c>
      <c r="C112" s="1061">
        <v>0.125</v>
      </c>
      <c r="D112" s="1061">
        <v>0.125</v>
      </c>
      <c r="E112" s="1061">
        <v>0.12</v>
      </c>
      <c r="F112" s="1062">
        <v>0.125</v>
      </c>
    </row>
    <row r="113" spans="1:6" ht="14.25" thickBot="1">
      <c r="A113" s="838" t="s">
        <v>56</v>
      </c>
      <c r="B113" s="832" t="s">
        <v>218</v>
      </c>
      <c r="C113" s="1061">
        <v>0.13</v>
      </c>
      <c r="D113" s="1061">
        <v>0.13</v>
      </c>
      <c r="E113" s="1061">
        <v>0.13</v>
      </c>
      <c r="F113" s="1062">
        <v>0.13</v>
      </c>
    </row>
    <row r="114" spans="1:6" ht="14.25" thickBot="1">
      <c r="A114" s="838" t="s">
        <v>56</v>
      </c>
      <c r="B114" s="832" t="s">
        <v>230</v>
      </c>
      <c r="C114" s="1061">
        <v>0.123</v>
      </c>
      <c r="D114" s="1061">
        <v>0.123</v>
      </c>
      <c r="E114" s="1061">
        <v>0.12</v>
      </c>
      <c r="F114" s="1062">
        <v>0.13</v>
      </c>
    </row>
    <row r="115" spans="1:6" ht="14.25" thickBot="1">
      <c r="A115" s="838" t="s">
        <v>56</v>
      </c>
      <c r="B115" s="832" t="s">
        <v>241</v>
      </c>
      <c r="C115" s="1061">
        <v>0.125</v>
      </c>
      <c r="D115" s="1061">
        <v>0.125</v>
      </c>
      <c r="E115" s="1061">
        <v>0.11700000000000001</v>
      </c>
      <c r="F115" s="1062">
        <v>0.13</v>
      </c>
    </row>
    <row r="116" spans="1:6" ht="14.25" thickBot="1">
      <c r="A116" s="838" t="s">
        <v>56</v>
      </c>
      <c r="B116" s="832" t="s">
        <v>252</v>
      </c>
      <c r="C116" s="1061">
        <v>0.11700000000000001</v>
      </c>
      <c r="D116" s="1061">
        <v>0.11700000000000001</v>
      </c>
      <c r="E116" s="1061">
        <v>8.7999999999999995E-2</v>
      </c>
      <c r="F116" s="1062">
        <v>0.13</v>
      </c>
    </row>
    <row r="117" spans="1:6" ht="14.25" thickBot="1">
      <c r="A117" s="838" t="s">
        <v>56</v>
      </c>
      <c r="B117" s="832" t="s">
        <v>263</v>
      </c>
      <c r="C117" s="1061">
        <v>0.13</v>
      </c>
      <c r="D117" s="1061">
        <v>0.13</v>
      </c>
      <c r="E117" s="1061">
        <v>0.129</v>
      </c>
      <c r="F117" s="1062">
        <v>0.13</v>
      </c>
    </row>
    <row r="118" spans="1:6" ht="14.25" thickBot="1">
      <c r="A118" s="838" t="s">
        <v>56</v>
      </c>
      <c r="B118" s="832" t="s">
        <v>275</v>
      </c>
      <c r="C118" s="1061">
        <v>0.123</v>
      </c>
      <c r="D118" s="1061">
        <v>0.123</v>
      </c>
      <c r="E118" s="1061">
        <v>0.11600000000000001</v>
      </c>
      <c r="F118" s="1062">
        <v>0.13</v>
      </c>
    </row>
    <row r="119" spans="1:6" ht="14.25" thickBot="1">
      <c r="A119" s="838" t="s">
        <v>56</v>
      </c>
      <c r="B119" s="832" t="s">
        <v>285</v>
      </c>
      <c r="C119" s="1061">
        <v>0.127</v>
      </c>
      <c r="D119" s="1061">
        <v>0.127</v>
      </c>
      <c r="E119" s="1061">
        <v>0.124</v>
      </c>
      <c r="F119" s="1062">
        <v>0.13</v>
      </c>
    </row>
    <row r="120" spans="1:6" ht="14.25" thickBot="1">
      <c r="A120" s="838" t="s">
        <v>56</v>
      </c>
      <c r="B120" s="832" t="s">
        <v>295</v>
      </c>
      <c r="C120" s="1061">
        <v>0.125</v>
      </c>
      <c r="D120" s="1061">
        <v>0.125</v>
      </c>
      <c r="E120" s="1061">
        <v>0.122</v>
      </c>
      <c r="F120" s="1062">
        <v>0.13</v>
      </c>
    </row>
    <row r="121" spans="1:6" ht="14.25" thickBot="1">
      <c r="A121" s="838" t="s">
        <v>56</v>
      </c>
      <c r="B121" s="832" t="s">
        <v>305</v>
      </c>
      <c r="C121" s="1061">
        <v>0.13</v>
      </c>
      <c r="D121" s="1061">
        <v>0.13</v>
      </c>
      <c r="E121" s="1061">
        <v>0.13</v>
      </c>
      <c r="F121" s="1062">
        <v>0.13</v>
      </c>
    </row>
    <row r="122" spans="1:6" ht="14.25" thickBot="1">
      <c r="A122" s="838" t="s">
        <v>56</v>
      </c>
      <c r="B122" s="832" t="s">
        <v>315</v>
      </c>
      <c r="C122" s="1061">
        <v>0.13</v>
      </c>
      <c r="D122" s="1061">
        <v>0.13</v>
      </c>
      <c r="E122" s="1061">
        <v>0.125</v>
      </c>
      <c r="F122" s="1062">
        <v>0.13</v>
      </c>
    </row>
    <row r="123" spans="1:6" ht="14.25" thickBot="1">
      <c r="A123" s="838" t="s">
        <v>56</v>
      </c>
      <c r="B123" s="832" t="s">
        <v>326</v>
      </c>
      <c r="C123" s="1061">
        <v>0.129</v>
      </c>
      <c r="D123" s="1061">
        <v>0.129</v>
      </c>
      <c r="E123" s="1061">
        <v>0.123</v>
      </c>
      <c r="F123" s="1062">
        <v>0.13</v>
      </c>
    </row>
    <row r="124" spans="1:6" ht="14.25" thickBot="1">
      <c r="A124" s="838" t="s">
        <v>56</v>
      </c>
      <c r="B124" s="832" t="s">
        <v>337</v>
      </c>
      <c r="C124" s="1061">
        <v>0.10199999999999999</v>
      </c>
      <c r="D124" s="1061">
        <v>0.10100000000000001</v>
      </c>
      <c r="E124" s="1061">
        <v>0.08</v>
      </c>
      <c r="F124" s="1073"/>
    </row>
    <row r="125" spans="1:6" ht="14.25" thickBot="1">
      <c r="A125" s="838" t="s">
        <v>56</v>
      </c>
      <c r="B125" s="832" t="s">
        <v>347</v>
      </c>
      <c r="C125" s="1061">
        <v>0.13</v>
      </c>
      <c r="D125" s="1061">
        <v>0.13</v>
      </c>
      <c r="E125" s="1061">
        <v>0.129</v>
      </c>
      <c r="F125" s="1073"/>
    </row>
    <row r="126" spans="1:6" ht="14.25" thickBot="1">
      <c r="A126" s="838" t="s">
        <v>56</v>
      </c>
      <c r="B126" s="832" t="s">
        <v>357</v>
      </c>
      <c r="C126" s="1061">
        <v>0.13</v>
      </c>
      <c r="D126" s="1061">
        <v>0.13</v>
      </c>
      <c r="E126" s="1061">
        <v>0.126</v>
      </c>
      <c r="F126" s="1073"/>
    </row>
    <row r="127" spans="1:6" ht="14.25" thickBot="1">
      <c r="A127" s="838" t="s">
        <v>56</v>
      </c>
      <c r="B127" s="832" t="s">
        <v>367</v>
      </c>
      <c r="C127" s="1061">
        <v>0.125</v>
      </c>
      <c r="D127" s="1061">
        <v>0.125</v>
      </c>
      <c r="E127" s="1061">
        <v>0.121</v>
      </c>
      <c r="F127" s="1073"/>
    </row>
    <row r="128" spans="1:6" ht="14.25" thickBot="1">
      <c r="A128" s="838" t="s">
        <v>56</v>
      </c>
      <c r="B128" s="832" t="s">
        <v>377</v>
      </c>
      <c r="C128" s="1061">
        <v>0.12</v>
      </c>
      <c r="D128" s="1061">
        <v>0.12</v>
      </c>
      <c r="E128" s="1061">
        <v>0.105</v>
      </c>
      <c r="F128" s="1073"/>
    </row>
    <row r="129" spans="1:6" ht="14.25" thickBot="1">
      <c r="A129" s="838" t="s">
        <v>56</v>
      </c>
      <c r="B129" s="832" t="s">
        <v>386</v>
      </c>
      <c r="C129" s="1061">
        <v>0.13</v>
      </c>
      <c r="D129" s="1061">
        <v>0.13</v>
      </c>
      <c r="E129" s="1061">
        <v>0.126</v>
      </c>
      <c r="F129" s="1073"/>
    </row>
    <row r="130" spans="1:6" ht="14.25" thickBot="1">
      <c r="A130" s="838" t="s">
        <v>56</v>
      </c>
      <c r="B130" s="832" t="s">
        <v>395</v>
      </c>
      <c r="C130" s="1061">
        <v>0.125</v>
      </c>
      <c r="D130" s="1061">
        <v>0.125</v>
      </c>
      <c r="E130" s="1061">
        <v>0.122</v>
      </c>
      <c r="F130" s="1073"/>
    </row>
    <row r="131" spans="1:6" ht="14.25" thickBot="1">
      <c r="A131" s="838" t="s">
        <v>56</v>
      </c>
      <c r="B131" s="832" t="s">
        <v>403</v>
      </c>
      <c r="C131" s="1061">
        <v>0.127</v>
      </c>
      <c r="D131" s="1061">
        <v>0.126</v>
      </c>
      <c r="E131" s="1061">
        <v>0.123</v>
      </c>
      <c r="F131" s="1073"/>
    </row>
    <row r="132" spans="1:6" ht="14.25" thickBot="1">
      <c r="A132" s="838" t="s">
        <v>56</v>
      </c>
      <c r="B132" s="832" t="s">
        <v>410</v>
      </c>
      <c r="C132" s="1061">
        <v>9.0999999999999998E-2</v>
      </c>
      <c r="D132" s="1061">
        <v>0.121</v>
      </c>
      <c r="E132" s="1061">
        <v>9.9000000000000005E-2</v>
      </c>
      <c r="F132" s="1073"/>
    </row>
    <row r="133" spans="1:6" ht="14.25" thickBot="1">
      <c r="A133" s="838" t="s">
        <v>56</v>
      </c>
      <c r="B133" s="832" t="s">
        <v>417</v>
      </c>
      <c r="C133" s="1061">
        <v>0.13</v>
      </c>
      <c r="D133" s="1061">
        <v>0.13</v>
      </c>
      <c r="E133" s="1061">
        <v>0.129</v>
      </c>
      <c r="F133" s="1073"/>
    </row>
    <row r="134" spans="1:6" ht="14.25" thickBot="1">
      <c r="A134" s="838" t="s">
        <v>56</v>
      </c>
      <c r="B134" s="832" t="s">
        <v>896</v>
      </c>
      <c r="C134" s="1061">
        <v>6.8000000000000005E-2</v>
      </c>
      <c r="D134" s="1061">
        <v>6.5000000000000002E-2</v>
      </c>
      <c r="E134" s="1061">
        <v>6.5000000000000002E-2</v>
      </c>
      <c r="F134" s="1062">
        <v>0.13</v>
      </c>
    </row>
    <row r="135" spans="1:6" ht="14.25" thickBot="1">
      <c r="A135" s="838" t="s">
        <v>56</v>
      </c>
      <c r="B135" s="832" t="s">
        <v>431</v>
      </c>
      <c r="C135" s="1061">
        <v>0.123</v>
      </c>
      <c r="D135" s="1061">
        <v>0.123</v>
      </c>
      <c r="E135" s="1061">
        <v>0.11</v>
      </c>
      <c r="F135" s="1073"/>
    </row>
    <row r="136" spans="1:6" ht="14.25" thickBot="1">
      <c r="A136" s="838" t="s">
        <v>56</v>
      </c>
      <c r="B136" s="832" t="s">
        <v>438</v>
      </c>
      <c r="C136" s="1061">
        <v>0.13</v>
      </c>
      <c r="D136" s="1061">
        <v>0.13</v>
      </c>
      <c r="E136" s="1061">
        <v>0.125</v>
      </c>
      <c r="F136" s="1073"/>
    </row>
    <row r="137" spans="1:6" ht="14.25" thickBot="1">
      <c r="A137" s="838" t="s">
        <v>56</v>
      </c>
      <c r="B137" s="832" t="s">
        <v>445</v>
      </c>
      <c r="C137" s="1061">
        <v>0.121</v>
      </c>
      <c r="D137" s="1061">
        <v>0.122</v>
      </c>
      <c r="E137" s="1061">
        <v>0.115</v>
      </c>
      <c r="F137" s="1073"/>
    </row>
    <row r="138" spans="1:6" ht="14.25" thickBot="1">
      <c r="A138" s="838" t="s">
        <v>56</v>
      </c>
      <c r="B138" s="832" t="s">
        <v>897</v>
      </c>
      <c r="C138" s="1061">
        <v>0.105</v>
      </c>
      <c r="D138" s="1061">
        <v>0.125</v>
      </c>
      <c r="E138" s="1061">
        <v>0.112</v>
      </c>
      <c r="F138" s="1073"/>
    </row>
    <row r="139" spans="1:6" ht="14.25" thickBot="1">
      <c r="A139" s="838" t="s">
        <v>56</v>
      </c>
      <c r="B139" s="832" t="s">
        <v>898</v>
      </c>
      <c r="C139" s="1061">
        <v>0.127</v>
      </c>
      <c r="D139" s="1061">
        <v>0.127</v>
      </c>
      <c r="E139" s="1061">
        <v>0.122</v>
      </c>
      <c r="F139" s="1062">
        <v>0.13</v>
      </c>
    </row>
    <row r="140" spans="1:6" ht="14.25" thickBot="1">
      <c r="A140" s="838" t="s">
        <v>56</v>
      </c>
      <c r="B140" s="832" t="s">
        <v>899</v>
      </c>
      <c r="C140" s="1061">
        <v>0.125</v>
      </c>
      <c r="D140" s="1061">
        <v>0.125</v>
      </c>
      <c r="E140" s="1061">
        <v>0.11899999999999999</v>
      </c>
      <c r="F140" s="1062">
        <v>0.13</v>
      </c>
    </row>
    <row r="141" spans="1:6" ht="14.25" thickBot="1">
      <c r="A141" s="838" t="s">
        <v>56</v>
      </c>
      <c r="B141" s="832" t="s">
        <v>464</v>
      </c>
      <c r="C141" s="1061">
        <v>0.125</v>
      </c>
      <c r="D141" s="1061">
        <v>0.125</v>
      </c>
      <c r="E141" s="1061">
        <v>0.11700000000000001</v>
      </c>
      <c r="F141" s="1073"/>
    </row>
    <row r="142" spans="1:6" ht="14.25" thickBot="1">
      <c r="A142" s="838" t="s">
        <v>56</v>
      </c>
      <c r="B142" s="832" t="s">
        <v>469</v>
      </c>
      <c r="C142" s="1061">
        <v>0.125</v>
      </c>
      <c r="D142" s="1061">
        <v>0.125</v>
      </c>
      <c r="E142" s="1061">
        <v>0.115</v>
      </c>
      <c r="F142" s="1073"/>
    </row>
    <row r="143" spans="1:6" ht="14.25" thickBot="1">
      <c r="A143" s="838" t="s">
        <v>56</v>
      </c>
      <c r="B143" s="832" t="s">
        <v>474</v>
      </c>
      <c r="C143" s="1061">
        <v>0.121</v>
      </c>
      <c r="D143" s="1061">
        <v>0.121</v>
      </c>
      <c r="E143" s="1061">
        <v>0.108</v>
      </c>
      <c r="F143" s="1073"/>
    </row>
    <row r="144" spans="1:6" ht="14.25" thickBot="1">
      <c r="A144" s="838" t="s">
        <v>56</v>
      </c>
      <c r="B144" s="1065" t="s">
        <v>900</v>
      </c>
      <c r="C144" s="1066">
        <v>0.126</v>
      </c>
      <c r="D144" s="1066">
        <v>0.126</v>
      </c>
      <c r="E144" s="1066">
        <v>0.121</v>
      </c>
      <c r="F144" s="1073"/>
    </row>
    <row r="145" spans="1:6" ht="14.25" thickBot="1">
      <c r="A145" s="848" t="s">
        <v>56</v>
      </c>
      <c r="B145" s="1067" t="s">
        <v>901</v>
      </c>
      <c r="C145" s="1075"/>
      <c r="D145" s="1075"/>
      <c r="E145" s="1075"/>
      <c r="F145" s="1068">
        <v>0.05</v>
      </c>
    </row>
    <row r="146" spans="1:6" ht="24.75" thickBot="1">
      <c r="A146" s="1069" t="s">
        <v>56</v>
      </c>
      <c r="B146" s="842" t="s">
        <v>902</v>
      </c>
      <c r="C146" s="1074"/>
      <c r="D146" s="1074"/>
      <c r="E146" s="1074"/>
      <c r="F146" s="1070">
        <v>0.05</v>
      </c>
    </row>
    <row r="147" spans="1:6" ht="24.75" thickBot="1">
      <c r="A147" s="838" t="s">
        <v>56</v>
      </c>
      <c r="B147" s="832" t="s">
        <v>903</v>
      </c>
      <c r="C147" s="1074"/>
      <c r="D147" s="1074"/>
      <c r="E147" s="1074"/>
      <c r="F147" s="1062">
        <v>0.05</v>
      </c>
    </row>
    <row r="148" spans="1:6" ht="24.75" thickBot="1">
      <c r="A148" s="838" t="s">
        <v>56</v>
      </c>
      <c r="B148" s="832" t="s">
        <v>904</v>
      </c>
      <c r="C148" s="1074"/>
      <c r="D148" s="1074"/>
      <c r="E148" s="1074"/>
      <c r="F148" s="1062">
        <v>0.05</v>
      </c>
    </row>
    <row r="149" spans="1:6" ht="24.75" thickBot="1">
      <c r="A149" s="838" t="s">
        <v>56</v>
      </c>
      <c r="B149" s="832" t="s">
        <v>905</v>
      </c>
      <c r="C149" s="1074"/>
      <c r="D149" s="1074"/>
      <c r="E149" s="1074"/>
      <c r="F149" s="1062">
        <v>0.05</v>
      </c>
    </row>
    <row r="150" spans="1:6" ht="24.75" thickBot="1">
      <c r="A150" s="838" t="s">
        <v>56</v>
      </c>
      <c r="B150" s="832" t="s">
        <v>906</v>
      </c>
      <c r="C150" s="1074"/>
      <c r="D150" s="1074"/>
      <c r="E150" s="1074"/>
      <c r="F150" s="1062">
        <v>0.05</v>
      </c>
    </row>
    <row r="151" spans="1:6" ht="24.75" thickBot="1">
      <c r="A151" s="838" t="s">
        <v>56</v>
      </c>
      <c r="B151" s="832" t="s">
        <v>907</v>
      </c>
      <c r="C151" s="1074"/>
      <c r="D151" s="1074"/>
      <c r="E151" s="1074"/>
      <c r="F151" s="1062">
        <v>0.05</v>
      </c>
    </row>
    <row r="152" spans="1:6" ht="24.75" thickBot="1">
      <c r="A152" s="838" t="s">
        <v>56</v>
      </c>
      <c r="B152" s="832" t="s">
        <v>507</v>
      </c>
      <c r="C152" s="1074"/>
      <c r="D152" s="1074"/>
      <c r="E152" s="1074"/>
      <c r="F152" s="1062">
        <v>0.05</v>
      </c>
    </row>
    <row r="153" spans="1:6" ht="14.25" thickBot="1">
      <c r="A153" s="838" t="s">
        <v>56</v>
      </c>
      <c r="B153" s="832" t="s">
        <v>908</v>
      </c>
      <c r="C153" s="1074"/>
      <c r="D153" s="1074"/>
      <c r="E153" s="1074"/>
      <c r="F153" s="1062">
        <v>0.05</v>
      </c>
    </row>
    <row r="154" spans="1:6" ht="14.25" thickBot="1">
      <c r="A154" s="838" t="s">
        <v>56</v>
      </c>
      <c r="B154" s="832" t="s">
        <v>909</v>
      </c>
      <c r="C154" s="1074"/>
      <c r="D154" s="1074"/>
      <c r="E154" s="1074"/>
      <c r="F154" s="1062">
        <v>0.05</v>
      </c>
    </row>
    <row r="155" spans="1:6" ht="24.75" thickBot="1">
      <c r="A155" s="838" t="s">
        <v>56</v>
      </c>
      <c r="B155" s="832" t="s">
        <v>910</v>
      </c>
      <c r="C155" s="1074"/>
      <c r="D155" s="1074"/>
      <c r="E155" s="1074"/>
      <c r="F155" s="1062">
        <v>0.05</v>
      </c>
    </row>
    <row r="156" spans="1:6" ht="24.75" thickBot="1">
      <c r="A156" s="838" t="s">
        <v>56</v>
      </c>
      <c r="B156" s="832" t="s">
        <v>911</v>
      </c>
      <c r="C156" s="1074"/>
      <c r="D156" s="1074"/>
      <c r="E156" s="1074"/>
      <c r="F156" s="1062">
        <v>0.05</v>
      </c>
    </row>
    <row r="157" spans="1:6" ht="14.25" thickBot="1">
      <c r="A157" s="848" t="s">
        <v>56</v>
      </c>
      <c r="B157" s="844" t="s">
        <v>912</v>
      </c>
      <c r="C157" s="1071"/>
      <c r="D157" s="1071"/>
      <c r="E157" s="1071"/>
      <c r="F157" s="1064">
        <v>0.05</v>
      </c>
    </row>
    <row r="158" spans="1:6" ht="14.25" thickBot="1">
      <c r="A158" s="838" t="s">
        <v>526</v>
      </c>
      <c r="B158" s="839" t="s">
        <v>913</v>
      </c>
      <c r="C158" s="1059">
        <v>0.13</v>
      </c>
      <c r="D158" s="1059">
        <v>0.13</v>
      </c>
      <c r="E158" s="1059">
        <v>0.13</v>
      </c>
      <c r="F158" s="1060">
        <v>0.13</v>
      </c>
    </row>
    <row r="159" spans="1:6" ht="14.25" thickBot="1">
      <c r="A159" s="838" t="s">
        <v>526</v>
      </c>
      <c r="B159" s="832" t="s">
        <v>193</v>
      </c>
      <c r="C159" s="1061">
        <v>0.13</v>
      </c>
      <c r="D159" s="1061">
        <v>0.13</v>
      </c>
      <c r="E159" s="1061">
        <v>0.13</v>
      </c>
      <c r="F159" s="1062">
        <v>0.13</v>
      </c>
    </row>
    <row r="160" spans="1:6" ht="14.25" thickBot="1">
      <c r="A160" s="838" t="s">
        <v>526</v>
      </c>
      <c r="B160" s="832" t="s">
        <v>206</v>
      </c>
      <c r="C160" s="1061">
        <v>0.13</v>
      </c>
      <c r="D160" s="1061">
        <v>0.13</v>
      </c>
      <c r="E160" s="1061">
        <v>0.129</v>
      </c>
      <c r="F160" s="1062">
        <v>0.13</v>
      </c>
    </row>
    <row r="161" spans="1:6" ht="14.25" thickBot="1">
      <c r="A161" s="838" t="s">
        <v>526</v>
      </c>
      <c r="B161" s="832" t="s">
        <v>219</v>
      </c>
      <c r="C161" s="1061">
        <v>0.128</v>
      </c>
      <c r="D161" s="1061">
        <v>0.128</v>
      </c>
      <c r="E161" s="1061">
        <v>0.125</v>
      </c>
      <c r="F161" s="1062">
        <v>0.13</v>
      </c>
    </row>
    <row r="162" spans="1:6" ht="14.25" thickBot="1">
      <c r="A162" s="838" t="s">
        <v>526</v>
      </c>
      <c r="B162" s="832" t="s">
        <v>231</v>
      </c>
      <c r="C162" s="1061">
        <v>0.122</v>
      </c>
      <c r="D162" s="1061">
        <v>0.122</v>
      </c>
      <c r="E162" s="1061">
        <v>0.126</v>
      </c>
      <c r="F162" s="1062">
        <v>0.122</v>
      </c>
    </row>
    <row r="163" spans="1:6" ht="14.25" thickBot="1">
      <c r="A163" s="838" t="s">
        <v>526</v>
      </c>
      <c r="B163" s="832" t="s">
        <v>242</v>
      </c>
      <c r="C163" s="1061">
        <v>0.13</v>
      </c>
      <c r="D163" s="1061">
        <v>0.13</v>
      </c>
      <c r="E163" s="1061">
        <v>0.125</v>
      </c>
      <c r="F163" s="1062">
        <v>0.13</v>
      </c>
    </row>
    <row r="164" spans="1:6" ht="14.25" thickBot="1">
      <c r="A164" s="838" t="s">
        <v>526</v>
      </c>
      <c r="B164" s="832" t="s">
        <v>253</v>
      </c>
      <c r="C164" s="1061">
        <v>0.13</v>
      </c>
      <c r="D164" s="1061">
        <v>0.13</v>
      </c>
      <c r="E164" s="1061">
        <v>0.13</v>
      </c>
      <c r="F164" s="1062">
        <v>0.13</v>
      </c>
    </row>
    <row r="165" spans="1:6" ht="14.25" thickBot="1">
      <c r="A165" s="838" t="s">
        <v>526</v>
      </c>
      <c r="B165" s="832" t="s">
        <v>264</v>
      </c>
      <c r="C165" s="1061">
        <v>0.13</v>
      </c>
      <c r="D165" s="1061">
        <v>0.13</v>
      </c>
      <c r="E165" s="1061">
        <v>0.124</v>
      </c>
      <c r="F165" s="1062">
        <v>0.13</v>
      </c>
    </row>
    <row r="166" spans="1:6" ht="14.25" thickBot="1">
      <c r="A166" s="838" t="s">
        <v>526</v>
      </c>
      <c r="B166" s="832" t="s">
        <v>276</v>
      </c>
      <c r="C166" s="1061">
        <v>0.13</v>
      </c>
      <c r="D166" s="1061">
        <v>0.13</v>
      </c>
      <c r="E166" s="1061">
        <v>0.13</v>
      </c>
      <c r="F166" s="1062">
        <v>0.13</v>
      </c>
    </row>
    <row r="167" spans="1:6" ht="14.25" thickBot="1">
      <c r="A167" s="838" t="s">
        <v>526</v>
      </c>
      <c r="B167" s="832" t="s">
        <v>286</v>
      </c>
      <c r="C167" s="1061">
        <v>0.125</v>
      </c>
      <c r="D167" s="1061">
        <v>0.125</v>
      </c>
      <c r="E167" s="1061">
        <v>0.121</v>
      </c>
      <c r="F167" s="1073"/>
    </row>
    <row r="168" spans="1:6" ht="14.25" thickBot="1">
      <c r="A168" s="838" t="s">
        <v>526</v>
      </c>
      <c r="B168" s="832" t="s">
        <v>296</v>
      </c>
      <c r="C168" s="1061">
        <v>0.13</v>
      </c>
      <c r="D168" s="1061">
        <v>0.13</v>
      </c>
      <c r="E168" s="1061">
        <v>0.126</v>
      </c>
      <c r="F168" s="1073"/>
    </row>
    <row r="169" spans="1:6" ht="14.25" thickBot="1">
      <c r="A169" s="838" t="s">
        <v>526</v>
      </c>
      <c r="B169" s="832" t="s">
        <v>306</v>
      </c>
      <c r="C169" s="1061">
        <v>0.128</v>
      </c>
      <c r="D169" s="1061">
        <v>0.129</v>
      </c>
      <c r="E169" s="1061">
        <v>0.13</v>
      </c>
      <c r="F169" s="1073"/>
    </row>
    <row r="170" spans="1:6" ht="14.25" thickBot="1">
      <c r="A170" s="838" t="s">
        <v>526</v>
      </c>
      <c r="B170" s="832" t="s">
        <v>316</v>
      </c>
      <c r="C170" s="1061">
        <v>0.14099999999999999</v>
      </c>
      <c r="D170" s="1061">
        <v>0.13</v>
      </c>
      <c r="E170" s="1061">
        <v>0.125</v>
      </c>
      <c r="F170" s="1073"/>
    </row>
    <row r="171" spans="1:6" ht="14.25" thickBot="1">
      <c r="A171" s="838" t="s">
        <v>526</v>
      </c>
      <c r="B171" s="832" t="s">
        <v>914</v>
      </c>
      <c r="C171" s="1061">
        <v>0.127</v>
      </c>
      <c r="D171" s="1061">
        <v>0.126</v>
      </c>
      <c r="E171" s="1061">
        <v>0.126</v>
      </c>
      <c r="F171" s="1062">
        <v>0.11799999999999999</v>
      </c>
    </row>
    <row r="172" spans="1:6" ht="14.25" thickBot="1">
      <c r="A172" s="838" t="s">
        <v>526</v>
      </c>
      <c r="B172" s="832" t="s">
        <v>915</v>
      </c>
      <c r="C172" s="1061">
        <v>0.13</v>
      </c>
      <c r="D172" s="1061">
        <v>0.13</v>
      </c>
      <c r="E172" s="1061">
        <v>0.13</v>
      </c>
      <c r="F172" s="1073"/>
    </row>
    <row r="173" spans="1:6" ht="14.25" thickBot="1">
      <c r="A173" s="838" t="s">
        <v>526</v>
      </c>
      <c r="B173" s="832" t="s">
        <v>348</v>
      </c>
      <c r="C173" s="1061">
        <v>0.13</v>
      </c>
      <c r="D173" s="1061">
        <v>0.13</v>
      </c>
      <c r="E173" s="1061">
        <v>0.13</v>
      </c>
      <c r="F173" s="1073"/>
    </row>
    <row r="174" spans="1:6" ht="14.25" thickBot="1">
      <c r="A174" s="838" t="s">
        <v>526</v>
      </c>
      <c r="B174" s="832" t="s">
        <v>916</v>
      </c>
      <c r="C174" s="1061">
        <v>0.13</v>
      </c>
      <c r="D174" s="1061">
        <v>0.13</v>
      </c>
      <c r="E174" s="1061">
        <v>0.13</v>
      </c>
      <c r="F174" s="1062">
        <v>0.13</v>
      </c>
    </row>
    <row r="175" spans="1:6" ht="14.25" thickBot="1">
      <c r="A175" s="838" t="s">
        <v>526</v>
      </c>
      <c r="B175" s="832" t="s">
        <v>917</v>
      </c>
      <c r="C175" s="1061">
        <v>0.13</v>
      </c>
      <c r="D175" s="1061">
        <v>0.13</v>
      </c>
      <c r="E175" s="1061">
        <v>0.13</v>
      </c>
      <c r="F175" s="1062">
        <v>0.13</v>
      </c>
    </row>
    <row r="176" spans="1:6" ht="14.25" thickBot="1">
      <c r="A176" s="838" t="s">
        <v>526</v>
      </c>
      <c r="B176" s="832" t="s">
        <v>378</v>
      </c>
      <c r="C176" s="1061">
        <v>0.13</v>
      </c>
      <c r="D176" s="1061">
        <v>0.13</v>
      </c>
      <c r="E176" s="1061">
        <v>0.13</v>
      </c>
      <c r="F176" s="1062">
        <v>0.13</v>
      </c>
    </row>
    <row r="177" spans="1:6" ht="14.25" thickBot="1">
      <c r="A177" s="838" t="s">
        <v>526</v>
      </c>
      <c r="B177" s="832" t="s">
        <v>918</v>
      </c>
      <c r="C177" s="1061">
        <v>0.13</v>
      </c>
      <c r="D177" s="1061">
        <v>0.13</v>
      </c>
      <c r="E177" s="1061">
        <v>0.13</v>
      </c>
      <c r="F177" s="1062">
        <v>0.13</v>
      </c>
    </row>
    <row r="178" spans="1:6" ht="14.25" thickBot="1">
      <c r="A178" s="838" t="s">
        <v>526</v>
      </c>
      <c r="B178" s="832" t="s">
        <v>396</v>
      </c>
      <c r="C178" s="1061">
        <v>0.13</v>
      </c>
      <c r="D178" s="1061">
        <v>0.13</v>
      </c>
      <c r="E178" s="1061">
        <v>0.13</v>
      </c>
      <c r="F178" s="1062">
        <v>0.127</v>
      </c>
    </row>
    <row r="179" spans="1:6" ht="14.25" thickBot="1">
      <c r="A179" s="838" t="s">
        <v>526</v>
      </c>
      <c r="B179" s="832" t="s">
        <v>404</v>
      </c>
      <c r="C179" s="1061">
        <v>0.13</v>
      </c>
      <c r="D179" s="1061">
        <v>0.13</v>
      </c>
      <c r="E179" s="1061">
        <v>0.13</v>
      </c>
      <c r="F179" s="1073"/>
    </row>
    <row r="180" spans="1:6" ht="14.25" thickBot="1">
      <c r="A180" s="838" t="s">
        <v>526</v>
      </c>
      <c r="B180" s="832" t="s">
        <v>919</v>
      </c>
      <c r="C180" s="1061">
        <v>0.13</v>
      </c>
      <c r="D180" s="1061">
        <v>0.13</v>
      </c>
      <c r="E180" s="1061">
        <v>0.125</v>
      </c>
      <c r="F180" s="1062">
        <v>0.13</v>
      </c>
    </row>
    <row r="181" spans="1:6" ht="14.25" thickBot="1">
      <c r="A181" s="838" t="s">
        <v>526</v>
      </c>
      <c r="B181" s="832" t="s">
        <v>418</v>
      </c>
      <c r="C181" s="1061">
        <v>0.122</v>
      </c>
      <c r="D181" s="1061">
        <v>0.123</v>
      </c>
      <c r="E181" s="1061">
        <v>0.126</v>
      </c>
      <c r="F181" s="1062">
        <v>0.121</v>
      </c>
    </row>
    <row r="182" spans="1:6" ht="14.25" thickBot="1">
      <c r="A182" s="838" t="s">
        <v>526</v>
      </c>
      <c r="B182" s="832" t="s">
        <v>425</v>
      </c>
      <c r="C182" s="1061">
        <v>0.125</v>
      </c>
      <c r="D182" s="1061">
        <v>0.125</v>
      </c>
      <c r="E182" s="1061">
        <v>0.11700000000000001</v>
      </c>
      <c r="F182" s="1062">
        <v>0.13</v>
      </c>
    </row>
    <row r="183" spans="1:6" ht="14.25" thickBot="1">
      <c r="A183" s="838" t="s">
        <v>526</v>
      </c>
      <c r="B183" s="832" t="s">
        <v>432</v>
      </c>
      <c r="C183" s="1061">
        <v>0.127</v>
      </c>
      <c r="D183" s="1061">
        <v>0.127</v>
      </c>
      <c r="E183" s="1061">
        <v>0.128</v>
      </c>
      <c r="F183" s="1073"/>
    </row>
    <row r="184" spans="1:6" ht="14.25" thickBot="1">
      <c r="A184" s="838" t="s">
        <v>526</v>
      </c>
      <c r="B184" s="832" t="s">
        <v>439</v>
      </c>
      <c r="C184" s="1061">
        <v>0.125</v>
      </c>
      <c r="D184" s="1061">
        <v>0.125</v>
      </c>
      <c r="E184" s="1061">
        <v>0.127</v>
      </c>
      <c r="F184" s="1073"/>
    </row>
    <row r="185" spans="1:6" ht="14.25" thickBot="1">
      <c r="A185" s="838" t="s">
        <v>526</v>
      </c>
      <c r="B185" s="832" t="s">
        <v>920</v>
      </c>
      <c r="C185" s="1061">
        <v>0.127</v>
      </c>
      <c r="D185" s="1061">
        <v>0.127</v>
      </c>
      <c r="E185" s="1061">
        <v>0.128</v>
      </c>
      <c r="F185" s="1062">
        <v>0.13</v>
      </c>
    </row>
    <row r="186" spans="1:6" ht="24.75" thickBot="1">
      <c r="A186" s="838" t="s">
        <v>526</v>
      </c>
      <c r="B186" s="832" t="s">
        <v>921</v>
      </c>
      <c r="C186" s="1074"/>
      <c r="D186" s="1074"/>
      <c r="E186" s="1074"/>
      <c r="F186" s="1062">
        <v>0.05</v>
      </c>
    </row>
    <row r="187" spans="1:6" ht="14.25" thickBot="1">
      <c r="A187" s="838" t="s">
        <v>526</v>
      </c>
      <c r="B187" s="832" t="s">
        <v>922</v>
      </c>
      <c r="C187" s="1074"/>
      <c r="D187" s="1074"/>
      <c r="E187" s="1074"/>
      <c r="F187" s="1062">
        <v>0.05</v>
      </c>
    </row>
    <row r="188" spans="1:6" ht="14.25" thickBot="1">
      <c r="A188" s="838" t="s">
        <v>526</v>
      </c>
      <c r="B188" s="832" t="s">
        <v>923</v>
      </c>
      <c r="C188" s="1074"/>
      <c r="D188" s="1074"/>
      <c r="E188" s="1074"/>
      <c r="F188" s="1062">
        <v>0.05</v>
      </c>
    </row>
    <row r="189" spans="1:6" ht="24.75" thickBot="1">
      <c r="A189" s="838" t="s">
        <v>526</v>
      </c>
      <c r="B189" s="832" t="s">
        <v>924</v>
      </c>
      <c r="C189" s="1074"/>
      <c r="D189" s="1074"/>
      <c r="E189" s="1074"/>
      <c r="F189" s="1062">
        <v>0.05</v>
      </c>
    </row>
    <row r="190" spans="1:6" ht="24.75" thickBot="1">
      <c r="A190" s="838" t="s">
        <v>526</v>
      </c>
      <c r="B190" s="832" t="s">
        <v>925</v>
      </c>
      <c r="C190" s="1074"/>
      <c r="D190" s="1074"/>
      <c r="E190" s="1074"/>
      <c r="F190" s="1062">
        <v>0.05</v>
      </c>
    </row>
    <row r="191" spans="1:6" ht="24.75" thickBot="1">
      <c r="A191" s="838" t="s">
        <v>526</v>
      </c>
      <c r="B191" s="832" t="s">
        <v>926</v>
      </c>
      <c r="C191" s="1074"/>
      <c r="D191" s="1074"/>
      <c r="E191" s="1074"/>
      <c r="F191" s="1062">
        <v>0.05</v>
      </c>
    </row>
    <row r="192" spans="1:6" ht="24.75" thickBot="1">
      <c r="A192" s="838" t="s">
        <v>526</v>
      </c>
      <c r="B192" s="832" t="s">
        <v>927</v>
      </c>
      <c r="C192" s="1074"/>
      <c r="D192" s="1074"/>
      <c r="E192" s="1074"/>
      <c r="F192" s="1062">
        <v>0.05</v>
      </c>
    </row>
    <row r="193" spans="1:6" ht="24.75" thickBot="1">
      <c r="A193" s="838" t="s">
        <v>526</v>
      </c>
      <c r="B193" s="832" t="s">
        <v>928</v>
      </c>
      <c r="C193" s="1074"/>
      <c r="D193" s="1074"/>
      <c r="E193" s="1074"/>
      <c r="F193" s="1062">
        <v>0.05</v>
      </c>
    </row>
    <row r="194" spans="1:6" ht="24.75" thickBot="1">
      <c r="A194" s="838" t="s">
        <v>526</v>
      </c>
      <c r="B194" s="832" t="s">
        <v>929</v>
      </c>
      <c r="C194" s="1074"/>
      <c r="D194" s="1074"/>
      <c r="E194" s="1074"/>
      <c r="F194" s="1062">
        <v>0.05</v>
      </c>
    </row>
    <row r="195" spans="1:6" ht="14.25" thickBot="1">
      <c r="A195" s="838" t="s">
        <v>526</v>
      </c>
      <c r="B195" s="832" t="s">
        <v>930</v>
      </c>
      <c r="C195" s="1074"/>
      <c r="D195" s="1074"/>
      <c r="E195" s="1074"/>
      <c r="F195" s="1062">
        <v>0.05</v>
      </c>
    </row>
    <row r="196" spans="1:6" ht="24.75" thickBot="1">
      <c r="A196" s="838" t="s">
        <v>526</v>
      </c>
      <c r="B196" s="832" t="s">
        <v>931</v>
      </c>
      <c r="C196" s="1074"/>
      <c r="D196" s="1074"/>
      <c r="E196" s="1074"/>
      <c r="F196" s="1062">
        <v>0.05</v>
      </c>
    </row>
    <row r="197" spans="1:6" ht="24.75" thickBot="1">
      <c r="A197" s="838" t="s">
        <v>526</v>
      </c>
      <c r="B197" s="832" t="s">
        <v>932</v>
      </c>
      <c r="C197" s="1074"/>
      <c r="D197" s="1074"/>
      <c r="E197" s="1074"/>
      <c r="F197" s="1062">
        <v>0.05</v>
      </c>
    </row>
    <row r="198" spans="1:6" ht="24.75" thickBot="1">
      <c r="A198" s="838" t="s">
        <v>526</v>
      </c>
      <c r="B198" s="832" t="s">
        <v>933</v>
      </c>
      <c r="C198" s="1074"/>
      <c r="D198" s="1074"/>
      <c r="E198" s="1074"/>
      <c r="F198" s="1062">
        <v>0.05</v>
      </c>
    </row>
    <row r="199" spans="1:6" ht="24.75" thickBot="1">
      <c r="A199" s="838" t="s">
        <v>526</v>
      </c>
      <c r="B199" s="832" t="s">
        <v>934</v>
      </c>
      <c r="C199" s="1074"/>
      <c r="D199" s="1074"/>
      <c r="E199" s="1074"/>
      <c r="F199" s="1062">
        <v>0.05</v>
      </c>
    </row>
    <row r="200" spans="1:6" ht="24.75" thickBot="1">
      <c r="A200" s="838" t="s">
        <v>526</v>
      </c>
      <c r="B200" s="832" t="s">
        <v>935</v>
      </c>
      <c r="C200" s="1074"/>
      <c r="D200" s="1074"/>
      <c r="E200" s="1074"/>
      <c r="F200" s="1062">
        <v>0.05</v>
      </c>
    </row>
    <row r="201" spans="1:6" ht="24.75" thickBot="1">
      <c r="A201" s="838" t="s">
        <v>526</v>
      </c>
      <c r="B201" s="832" t="s">
        <v>936</v>
      </c>
      <c r="C201" s="1074"/>
      <c r="D201" s="1074"/>
      <c r="E201" s="1074"/>
      <c r="F201" s="1062">
        <v>0.05</v>
      </c>
    </row>
    <row r="202" spans="1:6" ht="24.75" thickBot="1">
      <c r="A202" s="838" t="s">
        <v>526</v>
      </c>
      <c r="B202" s="832" t="s">
        <v>937</v>
      </c>
      <c r="C202" s="1074"/>
      <c r="D202" s="1074"/>
      <c r="E202" s="1074"/>
      <c r="F202" s="1062">
        <v>0.05</v>
      </c>
    </row>
    <row r="203" spans="1:6" ht="24.75" thickBot="1">
      <c r="A203" s="838" t="s">
        <v>526</v>
      </c>
      <c r="B203" s="832" t="s">
        <v>938</v>
      </c>
      <c r="C203" s="1074"/>
      <c r="D203" s="1074"/>
      <c r="E203" s="1074"/>
      <c r="F203" s="1062">
        <v>0.05</v>
      </c>
    </row>
    <row r="204" spans="1:6" ht="14.25" thickBot="1">
      <c r="A204" s="838" t="s">
        <v>526</v>
      </c>
      <c r="B204" s="832" t="s">
        <v>939</v>
      </c>
      <c r="C204" s="1074"/>
      <c r="D204" s="1074"/>
      <c r="E204" s="1074"/>
      <c r="F204" s="1062">
        <v>0.05</v>
      </c>
    </row>
    <row r="205" spans="1:6" ht="14.25" thickBot="1">
      <c r="A205" s="848" t="s">
        <v>526</v>
      </c>
      <c r="B205" s="844" t="s">
        <v>940</v>
      </c>
      <c r="C205" s="1071"/>
      <c r="D205" s="1071"/>
      <c r="E205" s="1071"/>
      <c r="F205" s="1064">
        <v>0.05</v>
      </c>
    </row>
    <row r="206" spans="1:6" ht="14.25" thickBot="1">
      <c r="A206" s="838" t="s">
        <v>528</v>
      </c>
      <c r="B206" s="839" t="s">
        <v>941</v>
      </c>
      <c r="C206" s="1059">
        <v>0.15</v>
      </c>
      <c r="D206" s="1059">
        <v>0.15</v>
      </c>
      <c r="E206" s="1059">
        <v>0.15</v>
      </c>
      <c r="F206" s="1060">
        <v>0.15</v>
      </c>
    </row>
    <row r="207" spans="1:6" ht="14.25" thickBot="1">
      <c r="A207" s="838" t="s">
        <v>528</v>
      </c>
      <c r="B207" s="832" t="s">
        <v>194</v>
      </c>
      <c r="C207" s="1061">
        <v>0.15</v>
      </c>
      <c r="D207" s="1061">
        <v>0.15</v>
      </c>
      <c r="E207" s="1061">
        <v>0.15</v>
      </c>
      <c r="F207" s="1062">
        <v>0.14399999999999999</v>
      </c>
    </row>
    <row r="208" spans="1:6" ht="14.25" thickBot="1">
      <c r="A208" s="838" t="s">
        <v>528</v>
      </c>
      <c r="B208" s="832" t="s">
        <v>207</v>
      </c>
      <c r="C208" s="1061">
        <v>0.15</v>
      </c>
      <c r="D208" s="1061">
        <v>0.15</v>
      </c>
      <c r="E208" s="1061">
        <v>0.15</v>
      </c>
      <c r="F208" s="1062">
        <v>0.15</v>
      </c>
    </row>
    <row r="209" spans="1:6" ht="14.25" thickBot="1">
      <c r="A209" s="838" t="s">
        <v>528</v>
      </c>
      <c r="B209" s="832" t="s">
        <v>220</v>
      </c>
      <c r="C209" s="1061">
        <v>0.13700000000000001</v>
      </c>
      <c r="D209" s="1061">
        <v>0.13700000000000001</v>
      </c>
      <c r="E209" s="1061">
        <v>0.14000000000000001</v>
      </c>
      <c r="F209" s="1062">
        <v>0.11700000000000001</v>
      </c>
    </row>
    <row r="210" spans="1:6" ht="14.25" thickBot="1">
      <c r="A210" s="838" t="s">
        <v>528</v>
      </c>
      <c r="B210" s="832" t="s">
        <v>942</v>
      </c>
      <c r="C210" s="1061">
        <v>0.15</v>
      </c>
      <c r="D210" s="1061">
        <v>0.15</v>
      </c>
      <c r="E210" s="1061">
        <v>0.15</v>
      </c>
      <c r="F210" s="1062">
        <v>0.13800000000000001</v>
      </c>
    </row>
    <row r="211" spans="1:6" ht="14.25" thickBot="1">
      <c r="A211" s="838" t="s">
        <v>528</v>
      </c>
      <c r="B211" s="832" t="s">
        <v>943</v>
      </c>
      <c r="C211" s="1061">
        <v>0.13700000000000001</v>
      </c>
      <c r="D211" s="1061">
        <v>0.13500000000000001</v>
      </c>
      <c r="E211" s="1061">
        <v>0.13600000000000001</v>
      </c>
      <c r="F211" s="1062">
        <v>0.1</v>
      </c>
    </row>
    <row r="212" spans="1:6" ht="14.25" thickBot="1">
      <c r="A212" s="838" t="s">
        <v>528</v>
      </c>
      <c r="B212" s="832" t="s">
        <v>944</v>
      </c>
      <c r="C212" s="1061">
        <v>0.15</v>
      </c>
      <c r="D212" s="1061">
        <v>0.15</v>
      </c>
      <c r="E212" s="1061">
        <v>0.14799999999999999</v>
      </c>
      <c r="F212" s="1062">
        <v>0.13600000000000001</v>
      </c>
    </row>
    <row r="213" spans="1:6" ht="14.25" thickBot="1">
      <c r="A213" s="838" t="s">
        <v>528</v>
      </c>
      <c r="B213" s="832" t="s">
        <v>265</v>
      </c>
      <c r="C213" s="1061">
        <v>0.15</v>
      </c>
      <c r="D213" s="1061">
        <v>0.15</v>
      </c>
      <c r="E213" s="1061">
        <v>0.15</v>
      </c>
      <c r="F213" s="1062">
        <v>0.13800000000000001</v>
      </c>
    </row>
    <row r="214" spans="1:6" ht="14.25" thickBot="1">
      <c r="A214" s="838" t="s">
        <v>528</v>
      </c>
      <c r="B214" s="832" t="s">
        <v>277</v>
      </c>
      <c r="C214" s="1061">
        <v>9.0999999999999998E-2</v>
      </c>
      <c r="D214" s="1061">
        <v>0.09</v>
      </c>
      <c r="E214" s="1061">
        <v>9.1999999999999998E-2</v>
      </c>
      <c r="F214" s="1073"/>
    </row>
    <row r="215" spans="1:6" ht="14.25" thickBot="1">
      <c r="A215" s="838" t="s">
        <v>528</v>
      </c>
      <c r="B215" s="832" t="s">
        <v>945</v>
      </c>
      <c r="C215" s="1061">
        <v>0.15</v>
      </c>
      <c r="D215" s="1061">
        <v>0.15</v>
      </c>
      <c r="E215" s="1061">
        <v>0.15</v>
      </c>
      <c r="F215" s="1062">
        <v>0.15</v>
      </c>
    </row>
    <row r="216" spans="1:6" ht="14.25" thickBot="1">
      <c r="A216" s="838" t="s">
        <v>528</v>
      </c>
      <c r="B216" s="832" t="s">
        <v>297</v>
      </c>
      <c r="C216" s="1061">
        <v>0.14699999999999999</v>
      </c>
      <c r="D216" s="1061">
        <v>0.14699999999999999</v>
      </c>
      <c r="E216" s="1061">
        <v>0.15</v>
      </c>
      <c r="F216" s="1062">
        <v>0.14000000000000001</v>
      </c>
    </row>
    <row r="217" spans="1:6" ht="14.25" thickBot="1">
      <c r="A217" s="838" t="s">
        <v>528</v>
      </c>
      <c r="B217" s="832" t="s">
        <v>307</v>
      </c>
      <c r="C217" s="1061">
        <v>0.15</v>
      </c>
      <c r="D217" s="1061">
        <v>0.15</v>
      </c>
      <c r="E217" s="1061">
        <v>0.15</v>
      </c>
      <c r="F217" s="1062">
        <v>0.15</v>
      </c>
    </row>
    <row r="218" spans="1:6" ht="14.25" thickBot="1">
      <c r="A218" s="838" t="s">
        <v>528</v>
      </c>
      <c r="B218" s="832" t="s">
        <v>946</v>
      </c>
      <c r="C218" s="1061">
        <v>0.15</v>
      </c>
      <c r="D218" s="1061">
        <v>0.15</v>
      </c>
      <c r="E218" s="1061">
        <v>0.15</v>
      </c>
      <c r="F218" s="1062">
        <v>0.15</v>
      </c>
    </row>
    <row r="219" spans="1:6" ht="14.25" thickBot="1">
      <c r="A219" s="838" t="s">
        <v>528</v>
      </c>
      <c r="B219" s="832" t="s">
        <v>328</v>
      </c>
      <c r="C219" s="1061">
        <v>0.15</v>
      </c>
      <c r="D219" s="1061">
        <v>0.15</v>
      </c>
      <c r="E219" s="1061">
        <v>0.15</v>
      </c>
      <c r="F219" s="1062">
        <v>0.14799999999999999</v>
      </c>
    </row>
    <row r="220" spans="1:6" ht="14.25" thickBot="1">
      <c r="A220" s="838" t="s">
        <v>528</v>
      </c>
      <c r="B220" s="832" t="s">
        <v>947</v>
      </c>
      <c r="C220" s="1061">
        <v>0.15</v>
      </c>
      <c r="D220" s="1061">
        <v>0.15</v>
      </c>
      <c r="E220" s="1061">
        <v>0.15</v>
      </c>
      <c r="F220" s="1062">
        <v>0.15</v>
      </c>
    </row>
    <row r="221" spans="1:6" ht="14.25" thickBot="1">
      <c r="A221" s="838" t="s">
        <v>528</v>
      </c>
      <c r="B221" s="832" t="s">
        <v>349</v>
      </c>
      <c r="C221" s="1061"/>
      <c r="D221" s="1074"/>
      <c r="E221" s="1074"/>
      <c r="F221" s="1062">
        <v>0.14799999999999999</v>
      </c>
    </row>
    <row r="222" spans="1:6" ht="14.25" thickBot="1">
      <c r="A222" s="838" t="s">
        <v>528</v>
      </c>
      <c r="B222" s="832" t="s">
        <v>359</v>
      </c>
      <c r="C222" s="1061"/>
      <c r="D222" s="1074"/>
      <c r="E222" s="1074"/>
      <c r="F222" s="1062">
        <v>0.1</v>
      </c>
    </row>
    <row r="223" spans="1:6" ht="14.25" thickBot="1">
      <c r="A223" s="838" t="s">
        <v>528</v>
      </c>
      <c r="B223" s="832" t="s">
        <v>369</v>
      </c>
      <c r="C223" s="1061"/>
      <c r="D223" s="1074"/>
      <c r="E223" s="1074"/>
      <c r="F223" s="1062">
        <v>0.15</v>
      </c>
    </row>
    <row r="224" spans="1:6" ht="14.25" thickBot="1">
      <c r="A224" s="838" t="s">
        <v>528</v>
      </c>
      <c r="B224" s="832" t="s">
        <v>379</v>
      </c>
      <c r="C224" s="1061"/>
      <c r="D224" s="1074"/>
      <c r="E224" s="1074"/>
      <c r="F224" s="1062">
        <v>0.15</v>
      </c>
    </row>
    <row r="225" spans="1:6" ht="14.25" thickBot="1">
      <c r="A225" s="838" t="s">
        <v>528</v>
      </c>
      <c r="B225" s="832" t="s">
        <v>948</v>
      </c>
      <c r="C225" s="1061">
        <v>0.15</v>
      </c>
      <c r="D225" s="1061">
        <v>0.15</v>
      </c>
      <c r="E225" s="1061">
        <v>0.15</v>
      </c>
      <c r="F225" s="1062">
        <v>0.15</v>
      </c>
    </row>
    <row r="226" spans="1:6" ht="14.25" thickBot="1">
      <c r="A226" s="838" t="s">
        <v>528</v>
      </c>
      <c r="B226" s="832" t="s">
        <v>397</v>
      </c>
      <c r="C226" s="1061">
        <v>0.15</v>
      </c>
      <c r="D226" s="1061">
        <v>0.15</v>
      </c>
      <c r="E226" s="1061">
        <v>0.15</v>
      </c>
      <c r="F226" s="1062">
        <v>0.14799999999999999</v>
      </c>
    </row>
    <row r="227" spans="1:6" ht="14.25" thickBot="1">
      <c r="A227" s="838" t="s">
        <v>528</v>
      </c>
      <c r="B227" s="832" t="s">
        <v>949</v>
      </c>
      <c r="C227" s="1061">
        <v>0.15</v>
      </c>
      <c r="D227" s="1061">
        <v>0.15</v>
      </c>
      <c r="E227" s="1061">
        <v>0.15</v>
      </c>
      <c r="F227" s="1062">
        <v>0.15</v>
      </c>
    </row>
    <row r="228" spans="1:6" ht="14.25" thickBot="1">
      <c r="A228" s="838" t="s">
        <v>528</v>
      </c>
      <c r="B228" s="832" t="s">
        <v>412</v>
      </c>
      <c r="C228" s="1061">
        <v>0.15</v>
      </c>
      <c r="D228" s="1061">
        <v>0.15</v>
      </c>
      <c r="E228" s="1061">
        <v>0.15</v>
      </c>
      <c r="F228" s="1062">
        <v>0.15</v>
      </c>
    </row>
    <row r="229" spans="1:6" ht="14.25" thickBot="1">
      <c r="A229" s="838" t="s">
        <v>528</v>
      </c>
      <c r="B229" s="832" t="s">
        <v>419</v>
      </c>
      <c r="C229" s="1061">
        <v>0.15</v>
      </c>
      <c r="D229" s="1061">
        <v>0.15</v>
      </c>
      <c r="E229" s="1061">
        <v>0.15</v>
      </c>
      <c r="F229" s="1073"/>
    </row>
    <row r="230" spans="1:6" ht="14.25" thickBot="1">
      <c r="A230" s="838" t="s">
        <v>528</v>
      </c>
      <c r="B230" s="832" t="s">
        <v>426</v>
      </c>
      <c r="C230" s="1061">
        <v>0.14499999999999999</v>
      </c>
      <c r="D230" s="1061">
        <v>0.14499999999999999</v>
      </c>
      <c r="E230" s="1061">
        <v>0.14399999999999999</v>
      </c>
      <c r="F230" s="1073"/>
    </row>
    <row r="231" spans="1:6" ht="14.25" thickBot="1">
      <c r="A231" s="838" t="s">
        <v>528</v>
      </c>
      <c r="B231" s="832" t="s">
        <v>950</v>
      </c>
      <c r="C231" s="1061">
        <v>0.128</v>
      </c>
      <c r="D231" s="1061">
        <v>0.125</v>
      </c>
      <c r="E231" s="1061">
        <v>0.13200000000000001</v>
      </c>
      <c r="F231" s="1073"/>
    </row>
    <row r="232" spans="1:6" ht="14.25" thickBot="1">
      <c r="A232" s="838" t="s">
        <v>528</v>
      </c>
      <c r="B232" s="832" t="s">
        <v>951</v>
      </c>
      <c r="C232" s="1061">
        <v>0.14499999999999999</v>
      </c>
      <c r="D232" s="1061">
        <v>0.14399999999999999</v>
      </c>
      <c r="E232" s="1061">
        <v>0.14599999999999999</v>
      </c>
      <c r="F232" s="1062">
        <v>0.13800000000000001</v>
      </c>
    </row>
    <row r="233" spans="1:6" ht="14.25" thickBot="1">
      <c r="A233" s="838" t="s">
        <v>528</v>
      </c>
      <c r="B233" s="832" t="s">
        <v>952</v>
      </c>
      <c r="C233" s="1061">
        <v>0.14499999999999999</v>
      </c>
      <c r="D233" s="1061">
        <v>0.14299999999999999</v>
      </c>
      <c r="E233" s="1061">
        <v>0.14199999999999999</v>
      </c>
      <c r="F233" s="1073"/>
    </row>
    <row r="234" spans="1:6" ht="14.25" thickBot="1">
      <c r="A234" s="838" t="s">
        <v>528</v>
      </c>
      <c r="B234" s="832" t="s">
        <v>953</v>
      </c>
      <c r="C234" s="1061">
        <v>0.14000000000000001</v>
      </c>
      <c r="D234" s="1061">
        <v>0.14000000000000001</v>
      </c>
      <c r="E234" s="1061">
        <v>0.14399999999999999</v>
      </c>
      <c r="F234" s="1073"/>
    </row>
    <row r="235" spans="1:6" ht="14.25" thickBot="1">
      <c r="A235" s="838" t="s">
        <v>528</v>
      </c>
      <c r="B235" s="832" t="s">
        <v>954</v>
      </c>
      <c r="C235" s="1061">
        <v>0.14099999999999999</v>
      </c>
      <c r="D235" s="1061">
        <v>0.14199999999999999</v>
      </c>
      <c r="E235" s="1061">
        <v>0.14499999999999999</v>
      </c>
      <c r="F235" s="1062">
        <v>0.15</v>
      </c>
    </row>
    <row r="236" spans="1:6" ht="14.25" thickBot="1">
      <c r="A236" s="838" t="s">
        <v>528</v>
      </c>
      <c r="B236" s="832" t="s">
        <v>461</v>
      </c>
      <c r="C236" s="1074"/>
      <c r="D236" s="1074"/>
      <c r="E236" s="1074"/>
      <c r="F236" s="1062">
        <v>0.14299999999999999</v>
      </c>
    </row>
    <row r="237" spans="1:6" ht="24.75" thickBot="1">
      <c r="A237" s="838" t="s">
        <v>528</v>
      </c>
      <c r="B237" s="832" t="s">
        <v>955</v>
      </c>
      <c r="C237" s="1074"/>
      <c r="D237" s="1074"/>
      <c r="E237" s="1074"/>
      <c r="F237" s="1062">
        <v>0.05</v>
      </c>
    </row>
    <row r="238" spans="1:6" ht="24.75" thickBot="1">
      <c r="A238" s="838" t="s">
        <v>528</v>
      </c>
      <c r="B238" s="832" t="s">
        <v>956</v>
      </c>
      <c r="C238" s="1074"/>
      <c r="D238" s="1074"/>
      <c r="E238" s="1074"/>
      <c r="F238" s="1062">
        <v>0.05</v>
      </c>
    </row>
    <row r="239" spans="1:6" ht="24.75" thickBot="1">
      <c r="A239" s="838" t="s">
        <v>528</v>
      </c>
      <c r="B239" s="832" t="s">
        <v>957</v>
      </c>
      <c r="C239" s="1074"/>
      <c r="D239" s="1074"/>
      <c r="E239" s="1074"/>
      <c r="F239" s="1062">
        <v>0.05</v>
      </c>
    </row>
    <row r="240" spans="1:6" ht="24.75" thickBot="1">
      <c r="A240" s="838" t="s">
        <v>528</v>
      </c>
      <c r="B240" s="832" t="s">
        <v>958</v>
      </c>
      <c r="C240" s="1074"/>
      <c r="D240" s="1074"/>
      <c r="E240" s="1074"/>
      <c r="F240" s="1062">
        <v>0.05</v>
      </c>
    </row>
    <row r="241" spans="1:6" ht="24.75" thickBot="1">
      <c r="A241" s="838" t="s">
        <v>528</v>
      </c>
      <c r="B241" s="832" t="s">
        <v>959</v>
      </c>
      <c r="C241" s="1074"/>
      <c r="D241" s="1074"/>
      <c r="E241" s="1074"/>
      <c r="F241" s="1062">
        <v>0.05</v>
      </c>
    </row>
    <row r="242" spans="1:6" ht="24.75" thickBot="1">
      <c r="A242" s="838" t="s">
        <v>528</v>
      </c>
      <c r="B242" s="832" t="s">
        <v>960</v>
      </c>
      <c r="C242" s="1074"/>
      <c r="D242" s="1074"/>
      <c r="E242" s="1074"/>
      <c r="F242" s="1062">
        <v>0.05</v>
      </c>
    </row>
    <row r="243" spans="1:6" ht="24.75" thickBot="1">
      <c r="A243" s="838" t="s">
        <v>528</v>
      </c>
      <c r="B243" s="832" t="s">
        <v>961</v>
      </c>
      <c r="C243" s="1074"/>
      <c r="D243" s="1074"/>
      <c r="E243" s="1074"/>
      <c r="F243" s="1062">
        <v>0.05</v>
      </c>
    </row>
    <row r="244" spans="1:6" ht="24.75" thickBot="1">
      <c r="A244" s="848" t="s">
        <v>528</v>
      </c>
      <c r="B244" s="844" t="s">
        <v>962</v>
      </c>
      <c r="C244" s="1071"/>
      <c r="D244" s="1071"/>
      <c r="E244" s="1071"/>
      <c r="F244" s="1064">
        <v>0.05</v>
      </c>
    </row>
    <row r="245" spans="1:6" ht="14.25" thickBot="1">
      <c r="A245" s="838" t="s">
        <v>530</v>
      </c>
      <c r="B245" s="839" t="s">
        <v>963</v>
      </c>
      <c r="C245" s="1059">
        <v>0.15</v>
      </c>
      <c r="D245" s="1059">
        <v>0.15</v>
      </c>
      <c r="E245" s="1059">
        <v>0.15</v>
      </c>
      <c r="F245" s="1060">
        <v>0.14299999999999999</v>
      </c>
    </row>
    <row r="246" spans="1:6" ht="14.25" thickBot="1">
      <c r="A246" s="838" t="s">
        <v>530</v>
      </c>
      <c r="B246" s="832" t="s">
        <v>195</v>
      </c>
      <c r="C246" s="1061">
        <v>0.15</v>
      </c>
      <c r="D246" s="1061">
        <v>0.15</v>
      </c>
      <c r="E246" s="1061">
        <v>0.15</v>
      </c>
      <c r="F246" s="1062">
        <v>0.114</v>
      </c>
    </row>
    <row r="247" spans="1:6" ht="14.25" thickBot="1">
      <c r="A247" s="838" t="s">
        <v>530</v>
      </c>
      <c r="B247" s="832" t="s">
        <v>964</v>
      </c>
      <c r="C247" s="1061">
        <v>0.15</v>
      </c>
      <c r="D247" s="1061">
        <v>0.15</v>
      </c>
      <c r="E247" s="1061">
        <v>0.15</v>
      </c>
      <c r="F247" s="1062">
        <v>0.15</v>
      </c>
    </row>
    <row r="248" spans="1:6" ht="14.25" thickBot="1">
      <c r="A248" s="838" t="s">
        <v>530</v>
      </c>
      <c r="B248" s="832" t="s">
        <v>965</v>
      </c>
      <c r="C248" s="1061">
        <v>0.15</v>
      </c>
      <c r="D248" s="1061">
        <v>0.15</v>
      </c>
      <c r="E248" s="1061">
        <v>0.15</v>
      </c>
      <c r="F248" s="1062">
        <v>0.14000000000000001</v>
      </c>
    </row>
    <row r="249" spans="1:6" ht="14.25" thickBot="1">
      <c r="A249" s="838" t="s">
        <v>530</v>
      </c>
      <c r="B249" s="832" t="s">
        <v>966</v>
      </c>
      <c r="C249" s="1061">
        <v>0.15</v>
      </c>
      <c r="D249" s="1061">
        <v>0.14899999999999999</v>
      </c>
      <c r="E249" s="1061">
        <v>0.15</v>
      </c>
      <c r="F249" s="1062">
        <v>0.1</v>
      </c>
    </row>
    <row r="250" spans="1:6" ht="14.25" thickBot="1">
      <c r="A250" s="838" t="s">
        <v>530</v>
      </c>
      <c r="B250" s="832" t="s">
        <v>967</v>
      </c>
      <c r="C250" s="1061">
        <v>0.15</v>
      </c>
      <c r="D250" s="1061">
        <v>0.15</v>
      </c>
      <c r="E250" s="1061">
        <v>0.15</v>
      </c>
      <c r="F250" s="1062">
        <v>0.14399999999999999</v>
      </c>
    </row>
    <row r="251" spans="1:6" ht="14.25" thickBot="1">
      <c r="A251" s="838" t="s">
        <v>530</v>
      </c>
      <c r="B251" s="832" t="s">
        <v>255</v>
      </c>
      <c r="C251" s="1061">
        <v>0.15</v>
      </c>
      <c r="D251" s="1061">
        <v>0.15</v>
      </c>
      <c r="E251" s="1061">
        <v>0.15</v>
      </c>
      <c r="F251" s="1062">
        <v>0.14299999999999999</v>
      </c>
    </row>
    <row r="252" spans="1:6" ht="14.25" thickBot="1">
      <c r="A252" s="838" t="s">
        <v>530</v>
      </c>
      <c r="B252" s="832" t="s">
        <v>266</v>
      </c>
      <c r="C252" s="1061">
        <v>0.15</v>
      </c>
      <c r="D252" s="1061">
        <v>0.15</v>
      </c>
      <c r="E252" s="1061">
        <v>0.15</v>
      </c>
      <c r="F252" s="1062">
        <v>0.1</v>
      </c>
    </row>
    <row r="253" spans="1:6" ht="14.25" thickBot="1">
      <c r="A253" s="838" t="s">
        <v>530</v>
      </c>
      <c r="B253" s="832" t="s">
        <v>278</v>
      </c>
      <c r="C253" s="1061">
        <v>0.15</v>
      </c>
      <c r="D253" s="1061">
        <v>0.15</v>
      </c>
      <c r="E253" s="1061">
        <v>0.15</v>
      </c>
      <c r="F253" s="1062">
        <v>0.1</v>
      </c>
    </row>
    <row r="254" spans="1:6" ht="14.25" thickBot="1">
      <c r="A254" s="838" t="s">
        <v>530</v>
      </c>
      <c r="B254" s="832" t="s">
        <v>288</v>
      </c>
      <c r="C254" s="1074"/>
      <c r="D254" s="1074"/>
      <c r="E254" s="1074"/>
      <c r="F254" s="1062">
        <v>0.15</v>
      </c>
    </row>
    <row r="255" spans="1:6" ht="14.25" thickBot="1">
      <c r="A255" s="838" t="s">
        <v>530</v>
      </c>
      <c r="B255" s="832" t="s">
        <v>298</v>
      </c>
      <c r="C255" s="1074"/>
      <c r="D255" s="1074"/>
      <c r="E255" s="1074"/>
      <c r="F255" s="1062">
        <v>0.14299999999999999</v>
      </c>
    </row>
    <row r="256" spans="1:6" ht="14.25" thickBot="1">
      <c r="A256" s="838" t="s">
        <v>530</v>
      </c>
      <c r="B256" s="832" t="s">
        <v>968</v>
      </c>
      <c r="C256" s="1061">
        <v>0.14599999999999999</v>
      </c>
      <c r="D256" s="1061">
        <v>0.14699999999999999</v>
      </c>
      <c r="E256" s="1061">
        <v>0.15</v>
      </c>
      <c r="F256" s="1062">
        <v>0.13200000000000001</v>
      </c>
    </row>
    <row r="257" spans="1:6" ht="14.25" thickBot="1">
      <c r="A257" s="838" t="s">
        <v>530</v>
      </c>
      <c r="B257" s="832" t="s">
        <v>318</v>
      </c>
      <c r="C257" s="1061">
        <v>0.15</v>
      </c>
      <c r="D257" s="1061">
        <v>0.15</v>
      </c>
      <c r="E257" s="1061">
        <v>0.15</v>
      </c>
      <c r="F257" s="1062">
        <v>0.13900000000000001</v>
      </c>
    </row>
    <row r="258" spans="1:6" ht="14.25" thickBot="1">
      <c r="A258" s="838" t="s">
        <v>530</v>
      </c>
      <c r="B258" s="832" t="s">
        <v>329</v>
      </c>
      <c r="C258" s="1061">
        <v>0.15</v>
      </c>
      <c r="D258" s="1061">
        <v>0.15</v>
      </c>
      <c r="E258" s="1061">
        <v>0.15</v>
      </c>
      <c r="F258" s="1062">
        <v>0.13</v>
      </c>
    </row>
    <row r="259" spans="1:6" ht="14.25" thickBot="1">
      <c r="A259" s="838" t="s">
        <v>530</v>
      </c>
      <c r="B259" s="832" t="s">
        <v>969</v>
      </c>
      <c r="C259" s="1061">
        <v>0.14799999999999999</v>
      </c>
      <c r="D259" s="1061">
        <v>0.14899999999999999</v>
      </c>
      <c r="E259" s="1061">
        <v>0.15</v>
      </c>
      <c r="F259" s="1062">
        <v>0.13700000000000001</v>
      </c>
    </row>
    <row r="260" spans="1:6" ht="14.25" thickBot="1">
      <c r="A260" s="838" t="s">
        <v>530</v>
      </c>
      <c r="B260" s="832" t="s">
        <v>350</v>
      </c>
      <c r="C260" s="1061">
        <v>0.15</v>
      </c>
      <c r="D260" s="1061">
        <v>0.15</v>
      </c>
      <c r="E260" s="1061">
        <v>0.15</v>
      </c>
      <c r="F260" s="1062">
        <v>0.14199999999999999</v>
      </c>
    </row>
    <row r="261" spans="1:6" ht="14.25" thickBot="1">
      <c r="A261" s="838" t="s">
        <v>530</v>
      </c>
      <c r="B261" s="832" t="s">
        <v>360</v>
      </c>
      <c r="C261" s="1061">
        <v>0.15</v>
      </c>
      <c r="D261" s="1061">
        <v>0.15</v>
      </c>
      <c r="E261" s="1061">
        <v>0.14899999999999999</v>
      </c>
      <c r="F261" s="1062">
        <v>0.14799999999999999</v>
      </c>
    </row>
    <row r="262" spans="1:6" ht="14.25" thickBot="1">
      <c r="A262" s="838" t="s">
        <v>530</v>
      </c>
      <c r="B262" s="832" t="s">
        <v>370</v>
      </c>
      <c r="C262" s="1061">
        <v>0.15</v>
      </c>
      <c r="D262" s="1061">
        <v>0.15</v>
      </c>
      <c r="E262" s="1061">
        <v>0.15</v>
      </c>
      <c r="F262" s="1073"/>
    </row>
    <row r="263" spans="1:6" ht="14.25" thickBot="1">
      <c r="A263" s="838" t="s">
        <v>530</v>
      </c>
      <c r="B263" s="832" t="s">
        <v>970</v>
      </c>
      <c r="C263" s="1061">
        <v>0.14899999999999999</v>
      </c>
      <c r="D263" s="1061">
        <v>0.14899999999999999</v>
      </c>
      <c r="E263" s="1061">
        <v>0.15</v>
      </c>
      <c r="F263" s="1062">
        <v>0.13</v>
      </c>
    </row>
    <row r="264" spans="1:6" ht="14.25" thickBot="1">
      <c r="A264" s="838" t="s">
        <v>530</v>
      </c>
      <c r="B264" s="832" t="s">
        <v>389</v>
      </c>
      <c r="C264" s="1061">
        <v>0.14799999999999999</v>
      </c>
      <c r="D264" s="1061">
        <v>0.14699999999999999</v>
      </c>
      <c r="E264" s="1061">
        <v>0.15</v>
      </c>
      <c r="F264" s="1062">
        <v>7.8E-2</v>
      </c>
    </row>
    <row r="265" spans="1:6" ht="14.25" thickBot="1">
      <c r="A265" s="838" t="s">
        <v>530</v>
      </c>
      <c r="B265" s="832" t="s">
        <v>398</v>
      </c>
      <c r="C265" s="1061">
        <v>0.15</v>
      </c>
      <c r="D265" s="1061">
        <v>0.15</v>
      </c>
      <c r="E265" s="1061">
        <v>0.15</v>
      </c>
      <c r="F265" s="1062">
        <v>7.3999999999999996E-2</v>
      </c>
    </row>
    <row r="266" spans="1:6" ht="14.25" thickBot="1">
      <c r="A266" s="838" t="s">
        <v>530</v>
      </c>
      <c r="B266" s="832" t="s">
        <v>406</v>
      </c>
      <c r="C266" s="1061">
        <v>0.14699999999999999</v>
      </c>
      <c r="D266" s="1061">
        <v>0.14699999999999999</v>
      </c>
      <c r="E266" s="1061">
        <v>0.15</v>
      </c>
      <c r="F266" s="1062">
        <v>0.14299999999999999</v>
      </c>
    </row>
    <row r="267" spans="1:6" ht="14.25" thickBot="1">
      <c r="A267" s="838" t="s">
        <v>530</v>
      </c>
      <c r="B267" s="832" t="s">
        <v>413</v>
      </c>
      <c r="C267" s="1061">
        <v>0.14199999999999999</v>
      </c>
      <c r="D267" s="1061">
        <v>0.14299999999999999</v>
      </c>
      <c r="E267" s="1061">
        <v>0.15</v>
      </c>
      <c r="F267" s="1073"/>
    </row>
    <row r="268" spans="1:6" ht="14.25" thickBot="1">
      <c r="A268" s="838" t="s">
        <v>530</v>
      </c>
      <c r="B268" s="832" t="s">
        <v>971</v>
      </c>
      <c r="C268" s="1061">
        <v>0.15</v>
      </c>
      <c r="D268" s="1061">
        <v>0.15</v>
      </c>
      <c r="E268" s="1061">
        <v>0.15</v>
      </c>
      <c r="F268" s="1062">
        <v>0.13</v>
      </c>
    </row>
    <row r="269" spans="1:6" ht="14.25" thickBot="1">
      <c r="A269" s="838" t="s">
        <v>530</v>
      </c>
      <c r="B269" s="832" t="s">
        <v>427</v>
      </c>
      <c r="C269" s="1061">
        <v>0.15</v>
      </c>
      <c r="D269" s="1061">
        <v>0.15</v>
      </c>
      <c r="E269" s="1061">
        <v>0.15</v>
      </c>
      <c r="F269" s="1062">
        <v>0.14299999999999999</v>
      </c>
    </row>
    <row r="270" spans="1:6" ht="14.25" thickBot="1">
      <c r="A270" s="838" t="s">
        <v>530</v>
      </c>
      <c r="B270" s="832" t="s">
        <v>434</v>
      </c>
      <c r="C270" s="1061">
        <v>0.14499999999999999</v>
      </c>
      <c r="D270" s="1061">
        <v>0.14499999999999999</v>
      </c>
      <c r="E270" s="1061">
        <v>0.15</v>
      </c>
      <c r="F270" s="1062">
        <v>0.14699999999999999</v>
      </c>
    </row>
    <row r="271" spans="1:6" ht="14.25" thickBot="1">
      <c r="A271" s="838" t="s">
        <v>530</v>
      </c>
      <c r="B271" s="832" t="s">
        <v>441</v>
      </c>
      <c r="C271" s="1061">
        <v>0.15</v>
      </c>
      <c r="D271" s="1061">
        <v>0.15</v>
      </c>
      <c r="E271" s="1061">
        <v>0.15</v>
      </c>
      <c r="F271" s="1062">
        <v>0.13800000000000001</v>
      </c>
    </row>
    <row r="272" spans="1:6" ht="14.25" thickBot="1">
      <c r="A272" s="838" t="s">
        <v>530</v>
      </c>
      <c r="B272" s="832" t="s">
        <v>448</v>
      </c>
      <c r="C272" s="1074"/>
      <c r="D272" s="1074"/>
      <c r="E272" s="1074"/>
      <c r="F272" s="1062">
        <v>0.14000000000000001</v>
      </c>
    </row>
    <row r="273" spans="1:6" ht="14.25" thickBot="1">
      <c r="A273" s="838" t="s">
        <v>530</v>
      </c>
      <c r="B273" s="832" t="s">
        <v>972</v>
      </c>
      <c r="C273" s="1061">
        <v>0.14199999999999999</v>
      </c>
      <c r="D273" s="1061">
        <v>0.14299999999999999</v>
      </c>
      <c r="E273" s="1061">
        <v>0.15</v>
      </c>
      <c r="F273" s="1062">
        <v>0.1</v>
      </c>
    </row>
    <row r="274" spans="1:6" ht="14.25" thickBot="1">
      <c r="A274" s="838" t="s">
        <v>530</v>
      </c>
      <c r="B274" s="832" t="s">
        <v>973</v>
      </c>
      <c r="C274" s="1061">
        <v>0.14799999999999999</v>
      </c>
      <c r="D274" s="1061">
        <v>0.14799999999999999</v>
      </c>
      <c r="E274" s="1061">
        <v>0.15</v>
      </c>
      <c r="F274" s="1062">
        <v>6.7000000000000004E-2</v>
      </c>
    </row>
    <row r="275" spans="1:6" ht="14.25" thickBot="1">
      <c r="A275" s="838" t="s">
        <v>530</v>
      </c>
      <c r="B275" s="832" t="s">
        <v>974</v>
      </c>
      <c r="C275" s="1061">
        <v>0.15</v>
      </c>
      <c r="D275" s="1061">
        <v>0.15</v>
      </c>
      <c r="E275" s="1061">
        <v>0.15</v>
      </c>
      <c r="F275" s="1062">
        <v>0.15</v>
      </c>
    </row>
    <row r="276" spans="1:6" ht="14.25" thickBot="1">
      <c r="A276" s="838" t="s">
        <v>530</v>
      </c>
      <c r="B276" s="832" t="s">
        <v>975</v>
      </c>
      <c r="C276" s="1061">
        <v>0.14499999999999999</v>
      </c>
      <c r="D276" s="1061">
        <v>0.14299999999999999</v>
      </c>
      <c r="E276" s="1061">
        <v>0.15</v>
      </c>
      <c r="F276" s="1062">
        <v>5.8999999999999997E-2</v>
      </c>
    </row>
    <row r="277" spans="1:6" ht="14.25" thickBot="1">
      <c r="A277" s="838" t="s">
        <v>530</v>
      </c>
      <c r="B277" s="832" t="s">
        <v>976</v>
      </c>
      <c r="C277" s="1061">
        <v>0.15</v>
      </c>
      <c r="D277" s="1061">
        <v>0.15</v>
      </c>
      <c r="E277" s="1061">
        <v>0.15</v>
      </c>
      <c r="F277" s="1062">
        <v>0.121</v>
      </c>
    </row>
    <row r="278" spans="1:6" ht="14.25" thickBot="1">
      <c r="A278" s="838" t="s">
        <v>530</v>
      </c>
      <c r="B278" s="832" t="s">
        <v>977</v>
      </c>
      <c r="C278" s="1061">
        <v>0.15</v>
      </c>
      <c r="D278" s="1061">
        <v>0.15</v>
      </c>
      <c r="E278" s="1061">
        <v>0.15</v>
      </c>
      <c r="F278" s="1062">
        <v>0.13800000000000001</v>
      </c>
    </row>
    <row r="279" spans="1:6" ht="24.75" thickBot="1">
      <c r="A279" s="838" t="s">
        <v>530</v>
      </c>
      <c r="B279" s="832" t="s">
        <v>978</v>
      </c>
      <c r="C279" s="1074"/>
      <c r="D279" s="1074"/>
      <c r="E279" s="1074"/>
      <c r="F279" s="1062">
        <v>0.05</v>
      </c>
    </row>
    <row r="280" spans="1:6" ht="24.75" thickBot="1">
      <c r="A280" s="838" t="s">
        <v>530</v>
      </c>
      <c r="B280" s="832" t="s">
        <v>979</v>
      </c>
      <c r="C280" s="1074"/>
      <c r="D280" s="1074"/>
      <c r="E280" s="1074"/>
      <c r="F280" s="1062">
        <v>0.05</v>
      </c>
    </row>
    <row r="281" spans="1:6" ht="24.75" thickBot="1">
      <c r="A281" s="838" t="s">
        <v>530</v>
      </c>
      <c r="B281" s="832" t="s">
        <v>980</v>
      </c>
      <c r="C281" s="1074"/>
      <c r="D281" s="1074"/>
      <c r="E281" s="1074"/>
      <c r="F281" s="1062">
        <v>0.05</v>
      </c>
    </row>
    <row r="282" spans="1:6" ht="24.75" thickBot="1">
      <c r="A282" s="838" t="s">
        <v>530</v>
      </c>
      <c r="B282" s="832" t="s">
        <v>981</v>
      </c>
      <c r="C282" s="1074"/>
      <c r="D282" s="1074"/>
      <c r="E282" s="1074"/>
      <c r="F282" s="1062">
        <v>0.05</v>
      </c>
    </row>
    <row r="283" spans="1:6" ht="24.75" thickBot="1">
      <c r="A283" s="838" t="s">
        <v>530</v>
      </c>
      <c r="B283" s="832" t="s">
        <v>982</v>
      </c>
      <c r="C283" s="1074"/>
      <c r="D283" s="1074"/>
      <c r="E283" s="1074"/>
      <c r="F283" s="1062">
        <v>0.05</v>
      </c>
    </row>
    <row r="284" spans="1:6" ht="24.75" thickBot="1">
      <c r="A284" s="838" t="s">
        <v>530</v>
      </c>
      <c r="B284" s="832" t="s">
        <v>983</v>
      </c>
      <c r="C284" s="1074"/>
      <c r="D284" s="1074"/>
      <c r="E284" s="1074"/>
      <c r="F284" s="1062">
        <v>0.05</v>
      </c>
    </row>
    <row r="285" spans="1:6" ht="24.75" thickBot="1">
      <c r="A285" s="838" t="s">
        <v>530</v>
      </c>
      <c r="B285" s="832" t="s">
        <v>984</v>
      </c>
      <c r="C285" s="1074"/>
      <c r="D285" s="1074"/>
      <c r="E285" s="1074"/>
      <c r="F285" s="1062">
        <v>0.05</v>
      </c>
    </row>
    <row r="286" spans="1:6" ht="24.75" thickBot="1">
      <c r="A286" s="838" t="s">
        <v>530</v>
      </c>
      <c r="B286" s="832" t="s">
        <v>985</v>
      </c>
      <c r="C286" s="1074"/>
      <c r="D286" s="1074"/>
      <c r="E286" s="1074"/>
      <c r="F286" s="1062">
        <v>0.05</v>
      </c>
    </row>
    <row r="287" spans="1:6" ht="24.75" thickBot="1">
      <c r="A287" s="838" t="s">
        <v>530</v>
      </c>
      <c r="B287" s="832" t="s">
        <v>986</v>
      </c>
      <c r="C287" s="1074"/>
      <c r="D287" s="1074"/>
      <c r="E287" s="1074"/>
      <c r="F287" s="1062">
        <v>0.05</v>
      </c>
    </row>
    <row r="288" spans="1:6" ht="24.75" thickBot="1">
      <c r="A288" s="838" t="s">
        <v>530</v>
      </c>
      <c r="B288" s="832" t="s">
        <v>987</v>
      </c>
      <c r="C288" s="1074"/>
      <c r="D288" s="1074"/>
      <c r="E288" s="1074"/>
      <c r="F288" s="1062">
        <v>0.05</v>
      </c>
    </row>
    <row r="289" spans="1:6" ht="24.75" thickBot="1">
      <c r="A289" s="848" t="s">
        <v>530</v>
      </c>
      <c r="B289" s="844" t="s">
        <v>988</v>
      </c>
      <c r="C289" s="1071"/>
      <c r="D289" s="1071"/>
      <c r="E289" s="1071"/>
      <c r="F289" s="1064">
        <v>0.05</v>
      </c>
    </row>
    <row r="290" spans="1:6" ht="14.25" thickBot="1">
      <c r="A290" s="838" t="s">
        <v>534</v>
      </c>
      <c r="B290" s="839" t="s">
        <v>989</v>
      </c>
      <c r="C290" s="1059">
        <v>0.15</v>
      </c>
      <c r="D290" s="1059">
        <v>0.15</v>
      </c>
      <c r="E290" s="1059">
        <v>0.15</v>
      </c>
      <c r="F290" s="1076"/>
    </row>
    <row r="291" spans="1:6" ht="14.25" thickBot="1">
      <c r="A291" s="838" t="s">
        <v>534</v>
      </c>
      <c r="B291" s="832" t="s">
        <v>196</v>
      </c>
      <c r="C291" s="1061">
        <v>0.15</v>
      </c>
      <c r="D291" s="1061">
        <v>0.15</v>
      </c>
      <c r="E291" s="1061">
        <v>0.15</v>
      </c>
      <c r="F291" s="1073"/>
    </row>
    <row r="292" spans="1:6" ht="14.25" thickBot="1">
      <c r="A292" s="838" t="s">
        <v>534</v>
      </c>
      <c r="B292" s="832" t="s">
        <v>990</v>
      </c>
      <c r="C292" s="1061">
        <v>0.15</v>
      </c>
      <c r="D292" s="1061">
        <v>0.15</v>
      </c>
      <c r="E292" s="1061">
        <v>0.15</v>
      </c>
      <c r="F292" s="1062">
        <v>0.14699999999999999</v>
      </c>
    </row>
    <row r="293" spans="1:6" ht="14.25" thickBot="1">
      <c r="A293" s="838" t="s">
        <v>534</v>
      </c>
      <c r="B293" s="832" t="s">
        <v>991</v>
      </c>
      <c r="C293" s="1074"/>
      <c r="D293" s="1074"/>
      <c r="E293" s="1074"/>
      <c r="F293" s="1062">
        <v>0.1</v>
      </c>
    </row>
    <row r="294" spans="1:6" ht="14.25" thickBot="1">
      <c r="A294" s="838" t="s">
        <v>534</v>
      </c>
      <c r="B294" s="832" t="s">
        <v>992</v>
      </c>
      <c r="C294" s="1061">
        <v>0.15</v>
      </c>
      <c r="D294" s="1061">
        <v>0.15</v>
      </c>
      <c r="E294" s="1061">
        <v>0.15</v>
      </c>
      <c r="F294" s="1062">
        <v>0.15</v>
      </c>
    </row>
    <row r="295" spans="1:6" ht="14.25" thickBot="1">
      <c r="A295" s="838" t="s">
        <v>534</v>
      </c>
      <c r="B295" s="832" t="s">
        <v>234</v>
      </c>
      <c r="C295" s="1061">
        <v>0.15</v>
      </c>
      <c r="D295" s="1061">
        <v>0.15</v>
      </c>
      <c r="E295" s="1061">
        <v>0.15</v>
      </c>
      <c r="F295" s="1062">
        <v>0.15</v>
      </c>
    </row>
    <row r="296" spans="1:6" ht="14.25" thickBot="1">
      <c r="A296" s="838" t="s">
        <v>534</v>
      </c>
      <c r="B296" s="832" t="s">
        <v>993</v>
      </c>
      <c r="C296" s="1061">
        <v>0.15</v>
      </c>
      <c r="D296" s="1061">
        <v>0.15</v>
      </c>
      <c r="E296" s="1061">
        <v>0.15</v>
      </c>
      <c r="F296" s="1062">
        <v>0.15</v>
      </c>
    </row>
    <row r="297" spans="1:6" ht="14.25" thickBot="1">
      <c r="A297" s="838" t="s">
        <v>534</v>
      </c>
      <c r="B297" s="832" t="s">
        <v>994</v>
      </c>
      <c r="C297" s="1061">
        <v>0.14799999999999999</v>
      </c>
      <c r="D297" s="1061">
        <v>0.14899999999999999</v>
      </c>
      <c r="E297" s="1061">
        <v>0.15</v>
      </c>
      <c r="F297" s="1062">
        <v>0.13700000000000001</v>
      </c>
    </row>
    <row r="298" spans="1:6" ht="14.25" thickBot="1">
      <c r="A298" s="838" t="s">
        <v>534</v>
      </c>
      <c r="B298" s="832" t="s">
        <v>267</v>
      </c>
      <c r="C298" s="1061">
        <v>0.13400000000000001</v>
      </c>
      <c r="D298" s="1061">
        <v>0.13400000000000001</v>
      </c>
      <c r="E298" s="1061">
        <v>0.14499999999999999</v>
      </c>
      <c r="F298" s="1062">
        <v>0.14799999999999999</v>
      </c>
    </row>
    <row r="299" spans="1:6" ht="14.25" thickBot="1">
      <c r="A299" s="838" t="s">
        <v>534</v>
      </c>
      <c r="B299" s="832" t="s">
        <v>279</v>
      </c>
      <c r="C299" s="1061">
        <v>0.15</v>
      </c>
      <c r="D299" s="1061">
        <v>0.15</v>
      </c>
      <c r="E299" s="1061">
        <v>0.15</v>
      </c>
      <c r="F299" s="1073"/>
    </row>
    <row r="300" spans="1:6" ht="14.25" thickBot="1">
      <c r="A300" s="838" t="s">
        <v>534</v>
      </c>
      <c r="B300" s="832" t="s">
        <v>995</v>
      </c>
      <c r="C300" s="1061">
        <v>0.15</v>
      </c>
      <c r="D300" s="1061">
        <v>0.15</v>
      </c>
      <c r="E300" s="1061">
        <v>0.15</v>
      </c>
      <c r="F300" s="1062">
        <v>0.15</v>
      </c>
    </row>
    <row r="301" spans="1:6" ht="14.25" thickBot="1">
      <c r="A301" s="838" t="s">
        <v>534</v>
      </c>
      <c r="B301" s="832" t="s">
        <v>299</v>
      </c>
      <c r="C301" s="1061">
        <v>0.15</v>
      </c>
      <c r="D301" s="1061">
        <v>0.15</v>
      </c>
      <c r="E301" s="1061">
        <v>0.15</v>
      </c>
      <c r="F301" s="1073"/>
    </row>
    <row r="302" spans="1:6" ht="14.25" thickBot="1">
      <c r="A302" s="838" t="s">
        <v>534</v>
      </c>
      <c r="B302" s="832" t="s">
        <v>996</v>
      </c>
      <c r="C302" s="1061">
        <v>0.15</v>
      </c>
      <c r="D302" s="1061">
        <v>0.15</v>
      </c>
      <c r="E302" s="1061">
        <v>0.15</v>
      </c>
      <c r="F302" s="1062">
        <v>0.15</v>
      </c>
    </row>
    <row r="303" spans="1:6" ht="14.25" thickBot="1">
      <c r="A303" s="838" t="s">
        <v>534</v>
      </c>
      <c r="B303" s="832" t="s">
        <v>319</v>
      </c>
      <c r="C303" s="1061">
        <v>0.15</v>
      </c>
      <c r="D303" s="1061">
        <v>0.15</v>
      </c>
      <c r="E303" s="1061">
        <v>0.15</v>
      </c>
      <c r="F303" s="1062">
        <v>0.15</v>
      </c>
    </row>
    <row r="304" spans="1:6" ht="14.25" thickBot="1">
      <c r="A304" s="838" t="s">
        <v>534</v>
      </c>
      <c r="B304" s="832" t="s">
        <v>330</v>
      </c>
      <c r="C304" s="1061">
        <v>0.15</v>
      </c>
      <c r="D304" s="1061">
        <v>0.15</v>
      </c>
      <c r="E304" s="1061">
        <v>0.15</v>
      </c>
      <c r="F304" s="1073"/>
    </row>
    <row r="305" spans="1:6" ht="14.25" thickBot="1">
      <c r="A305" s="838" t="s">
        <v>534</v>
      </c>
      <c r="B305" s="832" t="s">
        <v>997</v>
      </c>
      <c r="C305" s="1061">
        <v>0.15</v>
      </c>
      <c r="D305" s="1061">
        <v>0.15</v>
      </c>
      <c r="E305" s="1061">
        <v>0.15</v>
      </c>
      <c r="F305" s="1062">
        <v>0.14000000000000001</v>
      </c>
    </row>
    <row r="306" spans="1:6" ht="14.25" thickBot="1">
      <c r="A306" s="838" t="s">
        <v>534</v>
      </c>
      <c r="B306" s="832" t="s">
        <v>351</v>
      </c>
      <c r="C306" s="1061">
        <v>0.15</v>
      </c>
      <c r="D306" s="1061">
        <v>0.15</v>
      </c>
      <c r="E306" s="1061">
        <v>0.15</v>
      </c>
      <c r="F306" s="1073"/>
    </row>
    <row r="307" spans="1:6" ht="14.25" thickBot="1">
      <c r="A307" s="838" t="s">
        <v>534</v>
      </c>
      <c r="B307" s="832" t="s">
        <v>998</v>
      </c>
      <c r="C307" s="1061">
        <v>0.15</v>
      </c>
      <c r="D307" s="1061">
        <v>0.15</v>
      </c>
      <c r="E307" s="1061">
        <v>0.15</v>
      </c>
      <c r="F307" s="1062">
        <v>0.14299999999999999</v>
      </c>
    </row>
    <row r="308" spans="1:6" ht="14.25" thickBot="1">
      <c r="A308" s="838" t="s">
        <v>534</v>
      </c>
      <c r="B308" s="832" t="s">
        <v>371</v>
      </c>
      <c r="C308" s="1061">
        <v>0.15</v>
      </c>
      <c r="D308" s="1061">
        <v>0.15</v>
      </c>
      <c r="E308" s="1061">
        <v>0.15</v>
      </c>
      <c r="F308" s="1062">
        <v>0.15</v>
      </c>
    </row>
    <row r="309" spans="1:6" ht="14.25" thickBot="1">
      <c r="A309" s="838" t="s">
        <v>534</v>
      </c>
      <c r="B309" s="832" t="s">
        <v>381</v>
      </c>
      <c r="C309" s="1061">
        <v>0.15</v>
      </c>
      <c r="D309" s="1061">
        <v>0.15</v>
      </c>
      <c r="E309" s="1061">
        <v>0.15</v>
      </c>
      <c r="F309" s="1073"/>
    </row>
    <row r="310" spans="1:6" ht="14.25" thickBot="1">
      <c r="A310" s="838" t="s">
        <v>534</v>
      </c>
      <c r="B310" s="832" t="s">
        <v>999</v>
      </c>
      <c r="C310" s="1061">
        <v>0.15</v>
      </c>
      <c r="D310" s="1061">
        <v>0.15</v>
      </c>
      <c r="E310" s="1061">
        <v>0.15</v>
      </c>
      <c r="F310" s="1062">
        <v>0.13700000000000001</v>
      </c>
    </row>
    <row r="311" spans="1:6" ht="14.25" thickBot="1">
      <c r="A311" s="838" t="s">
        <v>534</v>
      </c>
      <c r="B311" s="832" t="s">
        <v>1000</v>
      </c>
      <c r="C311" s="1061">
        <v>0.15</v>
      </c>
      <c r="D311" s="1061">
        <v>0.15</v>
      </c>
      <c r="E311" s="1061">
        <v>0.15</v>
      </c>
      <c r="F311" s="1062">
        <v>0.15</v>
      </c>
    </row>
    <row r="312" spans="1:6" ht="14.25" thickBot="1">
      <c r="A312" s="838" t="s">
        <v>534</v>
      </c>
      <c r="B312" s="832" t="s">
        <v>407</v>
      </c>
      <c r="C312" s="1061">
        <v>0.15</v>
      </c>
      <c r="D312" s="1061">
        <v>0.15</v>
      </c>
      <c r="E312" s="1061">
        <v>0.15</v>
      </c>
      <c r="F312" s="1062">
        <v>0.1</v>
      </c>
    </row>
    <row r="313" spans="1:6" ht="14.25" thickBot="1">
      <c r="A313" s="838" t="s">
        <v>534</v>
      </c>
      <c r="B313" s="832" t="s">
        <v>1001</v>
      </c>
      <c r="C313" s="1061">
        <v>0.15</v>
      </c>
      <c r="D313" s="1061">
        <v>0.15</v>
      </c>
      <c r="E313" s="1061">
        <v>0.15</v>
      </c>
      <c r="F313" s="1062">
        <v>0.15</v>
      </c>
    </row>
    <row r="314" spans="1:6" ht="24.75" thickBot="1">
      <c r="A314" s="838" t="s">
        <v>534</v>
      </c>
      <c r="B314" s="832" t="s">
        <v>1002</v>
      </c>
      <c r="C314" s="1074"/>
      <c r="D314" s="1074"/>
      <c r="E314" s="1074"/>
      <c r="F314" s="1062">
        <v>0.05</v>
      </c>
    </row>
    <row r="315" spans="1:6" ht="24.75" thickBot="1">
      <c r="A315" s="838" t="s">
        <v>534</v>
      </c>
      <c r="B315" s="832" t="s">
        <v>1003</v>
      </c>
      <c r="C315" s="1074"/>
      <c r="D315" s="1074"/>
      <c r="E315" s="1074"/>
      <c r="F315" s="1062">
        <v>0.05</v>
      </c>
    </row>
    <row r="316" spans="1:6" ht="24.75" thickBot="1">
      <c r="A316" s="848" t="s">
        <v>534</v>
      </c>
      <c r="B316" s="844" t="s">
        <v>1004</v>
      </c>
      <c r="C316" s="1071"/>
      <c r="D316" s="1071"/>
      <c r="E316" s="1071"/>
      <c r="F316" s="1064">
        <v>0.05</v>
      </c>
    </row>
    <row r="317" spans="1:6" ht="14.25" thickBot="1">
      <c r="A317" s="838" t="s">
        <v>1005</v>
      </c>
      <c r="B317" s="839" t="s">
        <v>1006</v>
      </c>
      <c r="C317" s="1059">
        <v>0.15</v>
      </c>
      <c r="D317" s="1059">
        <v>0.15</v>
      </c>
      <c r="E317" s="1059">
        <v>0.15</v>
      </c>
      <c r="F317" s="1060">
        <v>0.15</v>
      </c>
    </row>
    <row r="318" spans="1:6" ht="14.25" thickBot="1">
      <c r="A318" s="838" t="s">
        <v>1005</v>
      </c>
      <c r="B318" s="832" t="s">
        <v>1007</v>
      </c>
      <c r="C318" s="1061">
        <v>0.107</v>
      </c>
      <c r="D318" s="1061">
        <v>0.11</v>
      </c>
      <c r="E318" s="1061">
        <v>0.112</v>
      </c>
      <c r="F318" s="1073"/>
    </row>
    <row r="319" spans="1:6" ht="14.25" thickBot="1">
      <c r="A319" s="838" t="s">
        <v>1005</v>
      </c>
      <c r="B319" s="832" t="s">
        <v>1008</v>
      </c>
      <c r="C319" s="1061">
        <v>0.15</v>
      </c>
      <c r="D319" s="1061">
        <v>0.15</v>
      </c>
      <c r="E319" s="1061">
        <v>0.15</v>
      </c>
      <c r="F319" s="1062">
        <v>0.15</v>
      </c>
    </row>
    <row r="320" spans="1:6" ht="14.25" thickBot="1">
      <c r="A320" s="838" t="s">
        <v>1005</v>
      </c>
      <c r="B320" s="832" t="s">
        <v>223</v>
      </c>
      <c r="C320" s="1061">
        <v>0.15</v>
      </c>
      <c r="D320" s="1061">
        <v>0.15</v>
      </c>
      <c r="E320" s="1061">
        <v>0.15</v>
      </c>
      <c r="F320" s="1073"/>
    </row>
    <row r="321" spans="1:6" ht="14.25" thickBot="1">
      <c r="A321" s="838" t="s">
        <v>1005</v>
      </c>
      <c r="B321" s="832" t="s">
        <v>1009</v>
      </c>
      <c r="C321" s="1061">
        <v>0.15</v>
      </c>
      <c r="D321" s="1061">
        <v>0.15</v>
      </c>
      <c r="E321" s="1061">
        <v>0.15</v>
      </c>
      <c r="F321" s="1073"/>
    </row>
    <row r="322" spans="1:6" ht="14.25" thickBot="1">
      <c r="A322" s="838" t="s">
        <v>1005</v>
      </c>
      <c r="B322" s="832" t="s">
        <v>1010</v>
      </c>
      <c r="C322" s="1061">
        <v>0.15</v>
      </c>
      <c r="D322" s="1061">
        <v>0.15</v>
      </c>
      <c r="E322" s="1061">
        <v>0.15</v>
      </c>
      <c r="F322" s="1062">
        <v>0.15</v>
      </c>
    </row>
    <row r="323" spans="1:6" ht="14.25" thickBot="1">
      <c r="A323" s="838" t="s">
        <v>1005</v>
      </c>
      <c r="B323" s="832" t="s">
        <v>1011</v>
      </c>
      <c r="C323" s="1061">
        <v>0.15</v>
      </c>
      <c r="D323" s="1061">
        <v>0.15</v>
      </c>
      <c r="E323" s="1061">
        <v>0.15</v>
      </c>
      <c r="F323" s="1073"/>
    </row>
    <row r="324" spans="1:6" ht="14.25" thickBot="1">
      <c r="A324" s="838" t="s">
        <v>1005</v>
      </c>
      <c r="B324" s="832" t="s">
        <v>1012</v>
      </c>
      <c r="C324" s="1061">
        <v>0.15</v>
      </c>
      <c r="D324" s="1061">
        <v>0.15</v>
      </c>
      <c r="E324" s="1061">
        <v>0.15</v>
      </c>
      <c r="F324" s="1073"/>
    </row>
    <row r="325" spans="1:6" ht="14.25" thickBot="1">
      <c r="A325" s="838" t="s">
        <v>1005</v>
      </c>
      <c r="B325" s="832" t="s">
        <v>1013</v>
      </c>
      <c r="C325" s="1061">
        <v>0.15</v>
      </c>
      <c r="D325" s="1061">
        <v>0.15</v>
      </c>
      <c r="E325" s="1061">
        <v>0.15</v>
      </c>
      <c r="F325" s="1062">
        <v>0.14699999999999999</v>
      </c>
    </row>
    <row r="326" spans="1:6" ht="14.25" thickBot="1">
      <c r="A326" s="838" t="s">
        <v>1005</v>
      </c>
      <c r="B326" s="832" t="s">
        <v>290</v>
      </c>
      <c r="C326" s="1061">
        <v>0.15</v>
      </c>
      <c r="D326" s="1061">
        <v>0.15</v>
      </c>
      <c r="E326" s="1061">
        <v>0.15</v>
      </c>
      <c r="F326" s="1073"/>
    </row>
    <row r="327" spans="1:6" ht="14.25" thickBot="1">
      <c r="A327" s="838" t="s">
        <v>1005</v>
      </c>
      <c r="B327" s="832" t="s">
        <v>1014</v>
      </c>
      <c r="C327" s="1061">
        <v>0.15</v>
      </c>
      <c r="D327" s="1061">
        <v>0.15</v>
      </c>
      <c r="E327" s="1061">
        <v>0.15</v>
      </c>
      <c r="F327" s="1062">
        <v>0.15</v>
      </c>
    </row>
    <row r="328" spans="1:6" ht="14.25" thickBot="1">
      <c r="A328" s="838" t="s">
        <v>1005</v>
      </c>
      <c r="B328" s="832" t="s">
        <v>310</v>
      </c>
      <c r="C328" s="1061">
        <v>0.15</v>
      </c>
      <c r="D328" s="1061">
        <v>0.15</v>
      </c>
      <c r="E328" s="1061">
        <v>0.15</v>
      </c>
      <c r="F328" s="1062">
        <v>0.14099999999999999</v>
      </c>
    </row>
    <row r="329" spans="1:6" ht="14.25" thickBot="1">
      <c r="A329" s="838" t="s">
        <v>1005</v>
      </c>
      <c r="B329" s="832" t="s">
        <v>320</v>
      </c>
      <c r="C329" s="1061">
        <v>0.15</v>
      </c>
      <c r="D329" s="1061">
        <v>0.15</v>
      </c>
      <c r="E329" s="1061">
        <v>0.15</v>
      </c>
      <c r="F329" s="1062">
        <v>0.15</v>
      </c>
    </row>
    <row r="330" spans="1:6" ht="14.25" thickBot="1">
      <c r="A330" s="838" t="s">
        <v>1005</v>
      </c>
      <c r="B330" s="832" t="s">
        <v>331</v>
      </c>
      <c r="C330" s="1061">
        <v>0.15</v>
      </c>
      <c r="D330" s="1061">
        <v>0.15</v>
      </c>
      <c r="E330" s="1061">
        <v>0.15</v>
      </c>
      <c r="F330" s="1073"/>
    </row>
    <row r="331" spans="1:6" ht="14.25" thickBot="1">
      <c r="A331" s="838" t="s">
        <v>1005</v>
      </c>
      <c r="B331" s="832" t="s">
        <v>1015</v>
      </c>
      <c r="C331" s="1061">
        <v>0.15</v>
      </c>
      <c r="D331" s="1061">
        <v>0.15</v>
      </c>
      <c r="E331" s="1061">
        <v>0.15</v>
      </c>
      <c r="F331" s="1062">
        <v>0.15</v>
      </c>
    </row>
    <row r="332" spans="1:6" ht="14.25" thickBot="1">
      <c r="A332" s="838" t="s">
        <v>1005</v>
      </c>
      <c r="B332" s="832" t="s">
        <v>352</v>
      </c>
      <c r="C332" s="1061">
        <v>0.15</v>
      </c>
      <c r="D332" s="1061">
        <v>0.15</v>
      </c>
      <c r="E332" s="1061">
        <v>0.15</v>
      </c>
      <c r="F332" s="1062">
        <v>0.15</v>
      </c>
    </row>
    <row r="333" spans="1:6" ht="14.25" thickBot="1">
      <c r="A333" s="838" t="s">
        <v>1005</v>
      </c>
      <c r="B333" s="832" t="s">
        <v>1016</v>
      </c>
      <c r="C333" s="1061">
        <v>0.15</v>
      </c>
      <c r="D333" s="1061">
        <v>0.15</v>
      </c>
      <c r="E333" s="1061">
        <v>0.15</v>
      </c>
      <c r="F333" s="1062">
        <v>0.14099999999999999</v>
      </c>
    </row>
    <row r="334" spans="1:6" ht="14.25" thickBot="1">
      <c r="A334" s="838" t="s">
        <v>1005</v>
      </c>
      <c r="B334" s="832" t="s">
        <v>372</v>
      </c>
      <c r="C334" s="1061">
        <v>0.15</v>
      </c>
      <c r="D334" s="1061">
        <v>0.15</v>
      </c>
      <c r="E334" s="1061">
        <v>0.15</v>
      </c>
      <c r="F334" s="1062">
        <v>0.15</v>
      </c>
    </row>
    <row r="335" spans="1:6" ht="14.25" thickBot="1">
      <c r="A335" s="838" t="s">
        <v>1005</v>
      </c>
      <c r="B335" s="832" t="s">
        <v>382</v>
      </c>
      <c r="C335" s="1061">
        <v>0.15</v>
      </c>
      <c r="D335" s="1061">
        <v>0.15</v>
      </c>
      <c r="E335" s="1061">
        <v>0.15</v>
      </c>
      <c r="F335" s="1073"/>
    </row>
    <row r="336" spans="1:6" ht="14.25" thickBot="1">
      <c r="A336" s="838" t="s">
        <v>1005</v>
      </c>
      <c r="B336" s="832" t="s">
        <v>1017</v>
      </c>
      <c r="C336" s="1061">
        <v>0.15</v>
      </c>
      <c r="D336" s="1061">
        <v>0.15</v>
      </c>
      <c r="E336" s="1061">
        <v>0.15</v>
      </c>
      <c r="F336" s="1062">
        <v>0.11799999999999999</v>
      </c>
    </row>
    <row r="337" spans="1:6" ht="14.25" thickBot="1">
      <c r="A337" s="848" t="s">
        <v>1005</v>
      </c>
      <c r="B337" s="844" t="s">
        <v>400</v>
      </c>
      <c r="C337" s="1071"/>
      <c r="D337" s="1071"/>
      <c r="E337" s="1071"/>
      <c r="F337" s="1064">
        <v>0.14299999999999999</v>
      </c>
    </row>
    <row r="338" spans="1:6" ht="14.25" thickBot="1">
      <c r="A338" s="838" t="s">
        <v>1018</v>
      </c>
      <c r="B338" s="839" t="s">
        <v>1019</v>
      </c>
      <c r="C338" s="1059">
        <v>0.15</v>
      </c>
      <c r="D338" s="1059">
        <v>0.15</v>
      </c>
      <c r="E338" s="1059">
        <v>0.15</v>
      </c>
      <c r="F338" s="1076"/>
    </row>
    <row r="339" spans="1:6" ht="14.25" thickBot="1">
      <c r="A339" s="838" t="s">
        <v>1018</v>
      </c>
      <c r="B339" s="832" t="s">
        <v>1020</v>
      </c>
      <c r="C339" s="1061">
        <v>0.15</v>
      </c>
      <c r="D339" s="1061">
        <v>0.15</v>
      </c>
      <c r="E339" s="1061">
        <v>0.15</v>
      </c>
      <c r="F339" s="1073"/>
    </row>
    <row r="340" spans="1:6" ht="14.25" thickBot="1">
      <c r="A340" s="838" t="s">
        <v>1018</v>
      </c>
      <c r="B340" s="832" t="s">
        <v>1021</v>
      </c>
      <c r="C340" s="1061">
        <v>0.15</v>
      </c>
      <c r="D340" s="1061">
        <v>0.15</v>
      </c>
      <c r="E340" s="1061">
        <v>0.15</v>
      </c>
      <c r="F340" s="1073"/>
    </row>
    <row r="341" spans="1:6" ht="14.25" thickBot="1">
      <c r="A341" s="838" t="s">
        <v>1018</v>
      </c>
      <c r="B341" s="832" t="s">
        <v>1022</v>
      </c>
      <c r="C341" s="1061">
        <v>0.15</v>
      </c>
      <c r="D341" s="1061">
        <v>0.15</v>
      </c>
      <c r="E341" s="1061">
        <v>0.15</v>
      </c>
      <c r="F341" s="1062">
        <v>0.15</v>
      </c>
    </row>
    <row r="342" spans="1:6" ht="14.25" thickBot="1">
      <c r="A342" s="838" t="s">
        <v>1018</v>
      </c>
      <c r="B342" s="832" t="s">
        <v>1023</v>
      </c>
      <c r="C342" s="1061">
        <v>0.15</v>
      </c>
      <c r="D342" s="1061">
        <v>0.15</v>
      </c>
      <c r="E342" s="1061">
        <v>0.15</v>
      </c>
      <c r="F342" s="1062">
        <v>0.15</v>
      </c>
    </row>
    <row r="343" spans="1:6" ht="14.25" thickBot="1">
      <c r="A343" s="838" t="s">
        <v>1018</v>
      </c>
      <c r="B343" s="832" t="s">
        <v>1024</v>
      </c>
      <c r="C343" s="1061">
        <v>0.15</v>
      </c>
      <c r="D343" s="1061">
        <v>0.15</v>
      </c>
      <c r="E343" s="1061">
        <v>0.15</v>
      </c>
      <c r="F343" s="1062">
        <v>0.15</v>
      </c>
    </row>
    <row r="344" spans="1:6" ht="14.25" thickBot="1">
      <c r="A344" s="848" t="s">
        <v>1018</v>
      </c>
      <c r="B344" s="844"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43615</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tabSelected="1" workbookViewId="0">
      <selection activeCell="N41" sqref="N41"/>
    </sheetView>
  </sheetViews>
  <sheetFormatPr defaultRowHeight="13.5"/>
  <cols>
    <col min="1" max="1" width="16.375" customWidth="1"/>
    <col min="2" max="7" width="8.5" bestFit="1" customWidth="1"/>
    <col min="8" max="8" width="7.75" customWidth="1"/>
    <col min="9" max="15" width="8.5" bestFit="1" customWidth="1"/>
    <col min="16" max="17" width="9.5" bestFit="1" customWidth="1"/>
    <col min="257" max="257" width="15.125" customWidth="1"/>
    <col min="258" max="273" width="7.5" customWidth="1"/>
    <col min="513" max="513" width="15.125" customWidth="1"/>
    <col min="514" max="529" width="7.5" customWidth="1"/>
    <col min="769" max="769" width="15.125" customWidth="1"/>
    <col min="770" max="785" width="7.5" customWidth="1"/>
    <col min="1025" max="1025" width="15.125" customWidth="1"/>
    <col min="1026" max="1041" width="7.5" customWidth="1"/>
    <col min="1281" max="1281" width="15.125" customWidth="1"/>
    <col min="1282" max="1297" width="7.5" customWidth="1"/>
    <col min="1537" max="1537" width="15.125" customWidth="1"/>
    <col min="1538" max="1553" width="7.5" customWidth="1"/>
    <col min="1793" max="1793" width="15.125" customWidth="1"/>
    <col min="1794" max="1809" width="7.5" customWidth="1"/>
    <col min="2049" max="2049" width="15.125" customWidth="1"/>
    <col min="2050" max="2065" width="7.5" customWidth="1"/>
    <col min="2305" max="2305" width="15.125" customWidth="1"/>
    <col min="2306" max="2321" width="7.5" customWidth="1"/>
    <col min="2561" max="2561" width="15.125" customWidth="1"/>
    <col min="2562" max="2577" width="7.5" customWidth="1"/>
    <col min="2817" max="2817" width="15.125" customWidth="1"/>
    <col min="2818" max="2833" width="7.5" customWidth="1"/>
    <col min="3073" max="3073" width="15.125" customWidth="1"/>
    <col min="3074" max="3089" width="7.5" customWidth="1"/>
    <col min="3329" max="3329" width="15.125" customWidth="1"/>
    <col min="3330" max="3345" width="7.5" customWidth="1"/>
    <col min="3585" max="3585" width="15.125" customWidth="1"/>
    <col min="3586" max="3601" width="7.5" customWidth="1"/>
    <col min="3841" max="3841" width="15.125" customWidth="1"/>
    <col min="3842" max="3857" width="7.5" customWidth="1"/>
    <col min="4097" max="4097" width="15.125" customWidth="1"/>
    <col min="4098" max="4113" width="7.5" customWidth="1"/>
    <col min="4353" max="4353" width="15.125" customWidth="1"/>
    <col min="4354" max="4369" width="7.5" customWidth="1"/>
    <col min="4609" max="4609" width="15.125" customWidth="1"/>
    <col min="4610" max="4625" width="7.5" customWidth="1"/>
    <col min="4865" max="4865" width="15.125" customWidth="1"/>
    <col min="4866" max="4881" width="7.5" customWidth="1"/>
    <col min="5121" max="5121" width="15.125" customWidth="1"/>
    <col min="5122" max="5137" width="7.5" customWidth="1"/>
    <col min="5377" max="5377" width="15.125" customWidth="1"/>
    <col min="5378" max="5393" width="7.5" customWidth="1"/>
    <col min="5633" max="5633" width="15.125" customWidth="1"/>
    <col min="5634" max="5649" width="7.5" customWidth="1"/>
    <col min="5889" max="5889" width="15.125" customWidth="1"/>
    <col min="5890" max="5905" width="7.5" customWidth="1"/>
    <col min="6145" max="6145" width="15.125" customWidth="1"/>
    <col min="6146" max="6161" width="7.5" customWidth="1"/>
    <col min="6401" max="6401" width="15.125" customWidth="1"/>
    <col min="6402" max="6417" width="7.5" customWidth="1"/>
    <col min="6657" max="6657" width="15.125" customWidth="1"/>
    <col min="6658" max="6673" width="7.5" customWidth="1"/>
    <col min="6913" max="6913" width="15.125" customWidth="1"/>
    <col min="6914" max="6929" width="7.5" customWidth="1"/>
    <col min="7169" max="7169" width="15.125" customWidth="1"/>
    <col min="7170" max="7185" width="7.5" customWidth="1"/>
    <col min="7425" max="7425" width="15.125" customWidth="1"/>
    <col min="7426" max="7441" width="7.5" customWidth="1"/>
    <col min="7681" max="7681" width="15.125" customWidth="1"/>
    <col min="7682" max="7697" width="7.5" customWidth="1"/>
    <col min="7937" max="7937" width="15.125" customWidth="1"/>
    <col min="7938" max="7953" width="7.5" customWidth="1"/>
    <col min="8193" max="8193" width="15.125" customWidth="1"/>
    <col min="8194" max="8209" width="7.5" customWidth="1"/>
    <col min="8449" max="8449" width="15.125" customWidth="1"/>
    <col min="8450" max="8465" width="7.5" customWidth="1"/>
    <col min="8705" max="8705" width="15.125" customWidth="1"/>
    <col min="8706" max="8721" width="7.5" customWidth="1"/>
    <col min="8961" max="8961" width="15.125" customWidth="1"/>
    <col min="8962" max="8977" width="7.5" customWidth="1"/>
    <col min="9217" max="9217" width="15.125" customWidth="1"/>
    <col min="9218" max="9233" width="7.5" customWidth="1"/>
    <col min="9473" max="9473" width="15.125" customWidth="1"/>
    <col min="9474" max="9489" width="7.5" customWidth="1"/>
    <col min="9729" max="9729" width="15.125" customWidth="1"/>
    <col min="9730" max="9745" width="7.5" customWidth="1"/>
    <col min="9985" max="9985" width="15.125" customWidth="1"/>
    <col min="9986" max="10001" width="7.5" customWidth="1"/>
    <col min="10241" max="10241" width="15.125" customWidth="1"/>
    <col min="10242" max="10257" width="7.5" customWidth="1"/>
    <col min="10497" max="10497" width="15.125" customWidth="1"/>
    <col min="10498" max="10513" width="7.5" customWidth="1"/>
    <col min="10753" max="10753" width="15.125" customWidth="1"/>
    <col min="10754" max="10769" width="7.5" customWidth="1"/>
    <col min="11009" max="11009" width="15.125" customWidth="1"/>
    <col min="11010" max="11025" width="7.5" customWidth="1"/>
    <col min="11265" max="11265" width="15.125" customWidth="1"/>
    <col min="11266" max="11281" width="7.5" customWidth="1"/>
    <col min="11521" max="11521" width="15.125" customWidth="1"/>
    <col min="11522" max="11537" width="7.5" customWidth="1"/>
    <col min="11777" max="11777" width="15.125" customWidth="1"/>
    <col min="11778" max="11793" width="7.5" customWidth="1"/>
    <col min="12033" max="12033" width="15.125" customWidth="1"/>
    <col min="12034" max="12049" width="7.5" customWidth="1"/>
    <col min="12289" max="12289" width="15.125" customWidth="1"/>
    <col min="12290" max="12305" width="7.5" customWidth="1"/>
    <col min="12545" max="12545" width="15.125" customWidth="1"/>
    <col min="12546" max="12561" width="7.5" customWidth="1"/>
    <col min="12801" max="12801" width="15.125" customWidth="1"/>
    <col min="12802" max="12817" width="7.5" customWidth="1"/>
    <col min="13057" max="13057" width="15.125" customWidth="1"/>
    <col min="13058" max="13073" width="7.5" customWidth="1"/>
    <col min="13313" max="13313" width="15.125" customWidth="1"/>
    <col min="13314" max="13329" width="7.5" customWidth="1"/>
    <col min="13569" max="13569" width="15.125" customWidth="1"/>
    <col min="13570" max="13585" width="7.5" customWidth="1"/>
    <col min="13825" max="13825" width="15.125" customWidth="1"/>
    <col min="13826" max="13841" width="7.5" customWidth="1"/>
    <col min="14081" max="14081" width="15.125" customWidth="1"/>
    <col min="14082" max="14097" width="7.5" customWidth="1"/>
    <col min="14337" max="14337" width="15.125" customWidth="1"/>
    <col min="14338" max="14353" width="7.5" customWidth="1"/>
    <col min="14593" max="14593" width="15.125" customWidth="1"/>
    <col min="14594" max="14609" width="7.5" customWidth="1"/>
    <col min="14849" max="14849" width="15.125" customWidth="1"/>
    <col min="14850" max="14865" width="7.5" customWidth="1"/>
    <col min="15105" max="15105" width="15.125" customWidth="1"/>
    <col min="15106" max="15121" width="7.5" customWidth="1"/>
    <col min="15361" max="15361" width="15.125" customWidth="1"/>
    <col min="15362" max="15377" width="7.5" customWidth="1"/>
    <col min="15617" max="15617" width="15.125" customWidth="1"/>
    <col min="15618" max="15633" width="7.5" customWidth="1"/>
    <col min="15873" max="15873" width="15.125" customWidth="1"/>
    <col min="15874" max="15889" width="7.5" customWidth="1"/>
    <col min="16129" max="16129" width="15.125" customWidth="1"/>
    <col min="16130" max="16145" width="7.5" customWidth="1"/>
  </cols>
  <sheetData>
    <row r="1" spans="1:19" ht="22.5">
      <c r="A1" s="3301" t="s">
        <v>3087</v>
      </c>
      <c r="B1" s="3302"/>
      <c r="C1" s="3302"/>
      <c r="D1" s="3302"/>
      <c r="E1" s="3302"/>
      <c r="F1" s="3302"/>
      <c r="G1" s="3302"/>
      <c r="H1" s="3302"/>
      <c r="I1" s="3302"/>
      <c r="J1" s="3302"/>
      <c r="K1" s="3302"/>
      <c r="L1" s="3302"/>
      <c r="M1" s="3302"/>
      <c r="N1" s="3302"/>
      <c r="O1" s="3302"/>
      <c r="P1" s="3302"/>
      <c r="Q1" s="3302"/>
    </row>
    <row r="2" spans="1:19" ht="14.25">
      <c r="A2" s="2947" t="s">
        <v>3088</v>
      </c>
      <c r="B2" s="2948">
        <v>2019</v>
      </c>
      <c r="C2" s="2948">
        <v>2020</v>
      </c>
      <c r="D2" s="2948">
        <v>2021</v>
      </c>
      <c r="E2" s="2948">
        <v>2022</v>
      </c>
      <c r="F2" s="2948">
        <v>2023</v>
      </c>
      <c r="G2" s="2948">
        <v>2024</v>
      </c>
      <c r="H2" s="2948">
        <v>2025</v>
      </c>
      <c r="I2" s="2948">
        <v>2026</v>
      </c>
      <c r="J2" s="2948">
        <v>2027</v>
      </c>
      <c r="K2" s="2948">
        <v>2028</v>
      </c>
      <c r="L2" s="2948">
        <v>2029</v>
      </c>
      <c r="M2" s="2948">
        <v>2030</v>
      </c>
      <c r="N2" s="2948">
        <v>2031</v>
      </c>
      <c r="O2" s="2948">
        <v>2032</v>
      </c>
      <c r="P2" s="2948">
        <v>2033</v>
      </c>
      <c r="Q2" s="2949" t="s">
        <v>3089</v>
      </c>
    </row>
    <row r="3" spans="1:19">
      <c r="A3" s="2947" t="s">
        <v>3090</v>
      </c>
      <c r="B3" s="2950">
        <v>8612</v>
      </c>
      <c r="C3" s="2950">
        <v>12057</v>
      </c>
      <c r="D3" s="2950">
        <v>13779</v>
      </c>
      <c r="E3" s="2950">
        <f t="shared" ref="E3:G4" si="0">D3*1.02</f>
        <v>14054.58</v>
      </c>
      <c r="F3" s="2950">
        <f t="shared" si="0"/>
        <v>14335.6716</v>
      </c>
      <c r="G3" s="2950">
        <f t="shared" si="0"/>
        <v>14622.385032</v>
      </c>
      <c r="H3" s="2950">
        <v>14422</v>
      </c>
      <c r="I3" s="2950">
        <v>14422</v>
      </c>
      <c r="J3" s="2950">
        <v>14422</v>
      </c>
      <c r="K3" s="2950">
        <v>14422</v>
      </c>
      <c r="L3" s="2950">
        <v>14422</v>
      </c>
      <c r="M3" s="2950">
        <v>14422</v>
      </c>
      <c r="N3" s="2950">
        <v>14422</v>
      </c>
      <c r="O3" s="2950">
        <v>14422</v>
      </c>
      <c r="P3" s="2950">
        <v>14422</v>
      </c>
      <c r="Q3" s="2951">
        <f>SUM(B3:P3)</f>
        <v>207258.63663200001</v>
      </c>
    </row>
    <row r="4" spans="1:19">
      <c r="A4" s="2952" t="s">
        <v>3091</v>
      </c>
      <c r="B4" s="2953">
        <v>8612</v>
      </c>
      <c r="C4" s="2953">
        <v>12057</v>
      </c>
      <c r="D4" s="2953">
        <v>13779</v>
      </c>
      <c r="E4" s="2953">
        <f t="shared" si="0"/>
        <v>14054.58</v>
      </c>
      <c r="F4" s="2953">
        <f t="shared" si="0"/>
        <v>14335.6716</v>
      </c>
      <c r="G4" s="2953">
        <f t="shared" si="0"/>
        <v>14622.385032</v>
      </c>
      <c r="H4" s="2953">
        <f>G4*1.02</f>
        <v>14914.832732640001</v>
      </c>
      <c r="I4" s="2953">
        <v>14915</v>
      </c>
      <c r="J4" s="2953">
        <v>14915</v>
      </c>
      <c r="K4" s="2953">
        <v>14915</v>
      </c>
      <c r="L4" s="2953">
        <v>14915</v>
      </c>
      <c r="M4" s="2953">
        <v>14915</v>
      </c>
      <c r="N4" s="2953">
        <v>14915</v>
      </c>
      <c r="O4" s="2953">
        <v>14915</v>
      </c>
      <c r="P4" s="2953">
        <v>14915</v>
      </c>
      <c r="Q4" s="2954">
        <f>SUM(B4:P4)</f>
        <v>211695.46936464001</v>
      </c>
    </row>
    <row r="5" spans="1:19">
      <c r="A5" s="2947" t="s">
        <v>3092</v>
      </c>
      <c r="B5" s="2950">
        <v>1752</v>
      </c>
      <c r="C5" s="2950">
        <f>B5*1.05</f>
        <v>1839.6000000000001</v>
      </c>
      <c r="D5" s="2950">
        <f>C5*1.05</f>
        <v>1931.5800000000002</v>
      </c>
      <c r="E5" s="2950">
        <f>D5*1.05</f>
        <v>2028.1590000000003</v>
      </c>
      <c r="F5" s="2950">
        <f t="shared" ref="F5:P5" si="1">E5*1.05</f>
        <v>2129.5669500000004</v>
      </c>
      <c r="G5" s="2950">
        <f t="shared" si="1"/>
        <v>2236.0452975000003</v>
      </c>
      <c r="H5" s="2950">
        <f t="shared" si="1"/>
        <v>2347.8475623750005</v>
      </c>
      <c r="I5" s="2950">
        <f t="shared" si="1"/>
        <v>2465.2399404937505</v>
      </c>
      <c r="J5" s="2950">
        <f t="shared" si="1"/>
        <v>2588.5019375184384</v>
      </c>
      <c r="K5" s="2950">
        <f t="shared" si="1"/>
        <v>2717.9270343943604</v>
      </c>
      <c r="L5" s="2950">
        <f t="shared" si="1"/>
        <v>2853.8233861140784</v>
      </c>
      <c r="M5" s="2950">
        <f t="shared" si="1"/>
        <v>2996.5145554197825</v>
      </c>
      <c r="N5" s="2950">
        <f t="shared" si="1"/>
        <v>3146.3402831907715</v>
      </c>
      <c r="O5" s="2950">
        <f t="shared" si="1"/>
        <v>3303.6572973503103</v>
      </c>
      <c r="P5" s="2950">
        <f t="shared" si="1"/>
        <v>3468.8401622178258</v>
      </c>
      <c r="Q5" s="2951">
        <f>SUM(B5:P5)</f>
        <v>37805.643406574331</v>
      </c>
    </row>
    <row r="6" spans="1:19">
      <c r="A6" s="2947" t="s">
        <v>3093</v>
      </c>
      <c r="B6" s="2950">
        <v>438</v>
      </c>
      <c r="C6" s="2950">
        <f t="shared" ref="C6:P7" si="2">B6*1.05</f>
        <v>459.90000000000003</v>
      </c>
      <c r="D6" s="2950">
        <f t="shared" si="2"/>
        <v>482.89500000000004</v>
      </c>
      <c r="E6" s="2950">
        <f t="shared" si="2"/>
        <v>507.03975000000008</v>
      </c>
      <c r="F6" s="2950">
        <f t="shared" si="2"/>
        <v>532.39173750000009</v>
      </c>
      <c r="G6" s="2950">
        <f t="shared" si="2"/>
        <v>559.01132437500007</v>
      </c>
      <c r="H6" s="2950">
        <f t="shared" si="2"/>
        <v>586.96189059375013</v>
      </c>
      <c r="I6" s="2950">
        <f t="shared" si="2"/>
        <v>616.30998512343763</v>
      </c>
      <c r="J6" s="2950">
        <f t="shared" si="2"/>
        <v>647.12548437960959</v>
      </c>
      <c r="K6" s="2950">
        <f t="shared" si="2"/>
        <v>679.48175859859009</v>
      </c>
      <c r="L6" s="2950">
        <f t="shared" si="2"/>
        <v>713.4558465285196</v>
      </c>
      <c r="M6" s="2950">
        <f t="shared" si="2"/>
        <v>749.12863885494562</v>
      </c>
      <c r="N6" s="2950">
        <f t="shared" si="2"/>
        <v>786.58507079769288</v>
      </c>
      <c r="O6" s="2950">
        <f t="shared" si="2"/>
        <v>825.91432433757757</v>
      </c>
      <c r="P6" s="2950">
        <f t="shared" si="2"/>
        <v>867.21004055445644</v>
      </c>
      <c r="Q6" s="2951">
        <f>SUM(B6:P6)</f>
        <v>9451.4108516435826</v>
      </c>
    </row>
    <row r="7" spans="1:19">
      <c r="A7" s="2947" t="s">
        <v>3094</v>
      </c>
      <c r="B7" s="2950">
        <v>1400</v>
      </c>
      <c r="C7" s="2950">
        <f t="shared" si="2"/>
        <v>1470</v>
      </c>
      <c r="D7" s="2950">
        <f t="shared" si="2"/>
        <v>1543.5</v>
      </c>
      <c r="E7" s="2950">
        <f t="shared" si="2"/>
        <v>1620.6750000000002</v>
      </c>
      <c r="F7" s="2950">
        <f t="shared" si="2"/>
        <v>1701.7087500000002</v>
      </c>
      <c r="G7" s="2950">
        <f t="shared" si="2"/>
        <v>1786.7941875000004</v>
      </c>
      <c r="H7" s="2950">
        <f t="shared" si="2"/>
        <v>1876.1338968750003</v>
      </c>
      <c r="I7" s="2950">
        <f t="shared" si="2"/>
        <v>1969.9405917187505</v>
      </c>
      <c r="J7" s="2950">
        <f t="shared" si="2"/>
        <v>2068.437621304688</v>
      </c>
      <c r="K7" s="2950">
        <f t="shared" si="2"/>
        <v>2171.8595023699227</v>
      </c>
      <c r="L7" s="2950">
        <f t="shared" si="2"/>
        <v>2280.4524774884189</v>
      </c>
      <c r="M7" s="2950">
        <f t="shared" si="2"/>
        <v>2394.4751013628402</v>
      </c>
      <c r="N7" s="2950">
        <f t="shared" si="2"/>
        <v>2514.1988564309822</v>
      </c>
      <c r="O7" s="2950">
        <f t="shared" si="2"/>
        <v>2639.9087992525315</v>
      </c>
      <c r="P7" s="2950">
        <f t="shared" si="2"/>
        <v>2771.9042392151582</v>
      </c>
      <c r="Q7" s="2951">
        <f>SUM(B7:P7)</f>
        <v>30209.989023518294</v>
      </c>
    </row>
    <row r="8" spans="1:19">
      <c r="A8" s="2952" t="s">
        <v>3095</v>
      </c>
      <c r="B8" s="2953">
        <f>SUM(B5:B7)</f>
        <v>3590</v>
      </c>
      <c r="C8" s="2953">
        <f t="shared" ref="C8:Q8" si="3">SUM(C5:C7)</f>
        <v>3769.5</v>
      </c>
      <c r="D8" s="2953">
        <f t="shared" si="3"/>
        <v>3957.9750000000004</v>
      </c>
      <c r="E8" s="2953">
        <f t="shared" si="3"/>
        <v>4155.8737500000007</v>
      </c>
      <c r="F8" s="2953">
        <f t="shared" si="3"/>
        <v>4363.6674375000002</v>
      </c>
      <c r="G8" s="2953">
        <f t="shared" si="3"/>
        <v>4581.8508093750006</v>
      </c>
      <c r="H8" s="2953">
        <f t="shared" si="3"/>
        <v>4810.9433498437511</v>
      </c>
      <c r="I8" s="2953">
        <f t="shared" si="3"/>
        <v>5051.4905173359384</v>
      </c>
      <c r="J8" s="2953">
        <f t="shared" si="3"/>
        <v>5304.065043202736</v>
      </c>
      <c r="K8" s="2953">
        <f t="shared" si="3"/>
        <v>5569.2682953628737</v>
      </c>
      <c r="L8" s="2953">
        <f t="shared" si="3"/>
        <v>5847.7317101310164</v>
      </c>
      <c r="M8" s="2953">
        <f t="shared" si="3"/>
        <v>6140.1182956375687</v>
      </c>
      <c r="N8" s="2953">
        <f t="shared" si="3"/>
        <v>6447.1242104194462</v>
      </c>
      <c r="O8" s="2953">
        <f t="shared" si="3"/>
        <v>6769.4804209404192</v>
      </c>
      <c r="P8" s="2953">
        <f t="shared" si="3"/>
        <v>7107.9544419874401</v>
      </c>
      <c r="Q8" s="2953">
        <f t="shared" si="3"/>
        <v>77467.043281736202</v>
      </c>
    </row>
    <row r="9" spans="1:19">
      <c r="A9" s="2952" t="s">
        <v>3096</v>
      </c>
      <c r="B9" s="2953">
        <v>312</v>
      </c>
      <c r="C9" s="2953">
        <f t="shared" ref="C9:P9" si="4">B9*1.05</f>
        <v>327.60000000000002</v>
      </c>
      <c r="D9" s="2953">
        <f t="shared" si="4"/>
        <v>343.98</v>
      </c>
      <c r="E9" s="2953">
        <f t="shared" si="4"/>
        <v>361.17900000000003</v>
      </c>
      <c r="F9" s="2953">
        <f t="shared" si="4"/>
        <v>379.23795000000007</v>
      </c>
      <c r="G9" s="2953">
        <f t="shared" si="4"/>
        <v>398.19984750000009</v>
      </c>
      <c r="H9" s="2953">
        <f t="shared" si="4"/>
        <v>418.10983987500009</v>
      </c>
      <c r="I9" s="2953">
        <f t="shared" si="4"/>
        <v>439.01533186875014</v>
      </c>
      <c r="J9" s="2953">
        <f t="shared" si="4"/>
        <v>460.96609846218769</v>
      </c>
      <c r="K9" s="2953">
        <f t="shared" si="4"/>
        <v>484.0144033852971</v>
      </c>
      <c r="L9" s="2953">
        <f t="shared" si="4"/>
        <v>508.21512355456196</v>
      </c>
      <c r="M9" s="2953">
        <f t="shared" si="4"/>
        <v>533.62587973229006</v>
      </c>
      <c r="N9" s="2953">
        <f t="shared" si="4"/>
        <v>560.30717371890455</v>
      </c>
      <c r="O9" s="2953">
        <f t="shared" si="4"/>
        <v>588.32253240484977</v>
      </c>
      <c r="P9" s="2953">
        <f t="shared" si="4"/>
        <v>617.73865902509226</v>
      </c>
      <c r="Q9" s="2954">
        <f>SUM(B9:P9)</f>
        <v>6732.5118395269346</v>
      </c>
    </row>
    <row r="10" spans="1:19">
      <c r="A10" s="2952" t="s">
        <v>3097</v>
      </c>
      <c r="B10" s="2954">
        <f>B4+B8+B9</f>
        <v>12514</v>
      </c>
      <c r="C10" s="2954">
        <f>C4+C8+C9</f>
        <v>16154.1</v>
      </c>
      <c r="D10" s="2954">
        <f>D4+D8+D9</f>
        <v>18080.954999999998</v>
      </c>
      <c r="E10" s="2954">
        <f>E4+E8+E9</f>
        <v>18571.632750000001</v>
      </c>
      <c r="F10" s="2954">
        <f>F4+F8+F9</f>
        <v>19078.576987500001</v>
      </c>
      <c r="G10" s="2954">
        <f t="shared" ref="C10:Q10" si="5">G4+G8+G9</f>
        <v>19602.435688875001</v>
      </c>
      <c r="H10" s="2954">
        <f t="shared" si="5"/>
        <v>20143.885922358753</v>
      </c>
      <c r="I10" s="2954">
        <f t="shared" si="5"/>
        <v>20405.505849204688</v>
      </c>
      <c r="J10" s="2954">
        <f t="shared" si="5"/>
        <v>20680.031141664924</v>
      </c>
      <c r="K10" s="2954">
        <f t="shared" si="5"/>
        <v>20968.282698748171</v>
      </c>
      <c r="L10" s="2954">
        <f t="shared" si="5"/>
        <v>21270.946833685579</v>
      </c>
      <c r="M10" s="2954">
        <f t="shared" si="5"/>
        <v>21588.744175369862</v>
      </c>
      <c r="N10" s="2954">
        <f t="shared" si="5"/>
        <v>21922.431384138352</v>
      </c>
      <c r="O10" s="2954">
        <f t="shared" si="5"/>
        <v>22272.802953345268</v>
      </c>
      <c r="P10" s="2954">
        <f t="shared" si="5"/>
        <v>22640.693101012534</v>
      </c>
      <c r="Q10" s="2954">
        <f t="shared" si="5"/>
        <v>295895.02448590315</v>
      </c>
    </row>
    <row r="11" spans="1:19">
      <c r="A11" s="2947" t="s">
        <v>3098</v>
      </c>
      <c r="B11" s="2951">
        <v>1918</v>
      </c>
      <c r="C11" s="2951">
        <f>B11*1.05</f>
        <v>2013.9</v>
      </c>
      <c r="D11" s="2951">
        <f t="shared" ref="D11:P12" si="6">C11*1.05</f>
        <v>2114.5950000000003</v>
      </c>
      <c r="E11" s="2951">
        <f t="shared" si="6"/>
        <v>2220.3247500000002</v>
      </c>
      <c r="F11" s="2951">
        <f t="shared" si="6"/>
        <v>2331.3409875000002</v>
      </c>
      <c r="G11" s="2951">
        <f t="shared" si="6"/>
        <v>2447.9080368750001</v>
      </c>
      <c r="H11" s="2951">
        <f t="shared" si="6"/>
        <v>2570.3034387187504</v>
      </c>
      <c r="I11" s="2951">
        <f t="shared" si="6"/>
        <v>2698.8186106546882</v>
      </c>
      <c r="J11" s="2951">
        <f t="shared" si="6"/>
        <v>2833.7595411874227</v>
      </c>
      <c r="K11" s="2951">
        <f t="shared" si="6"/>
        <v>2975.4475182467941</v>
      </c>
      <c r="L11" s="2951">
        <f t="shared" si="6"/>
        <v>3124.2198941591337</v>
      </c>
      <c r="M11" s="2951">
        <f t="shared" si="6"/>
        <v>3280.4308888670903</v>
      </c>
      <c r="N11" s="2951">
        <f t="shared" si="6"/>
        <v>3444.452433310445</v>
      </c>
      <c r="O11" s="2951">
        <f t="shared" si="6"/>
        <v>3616.6750549759672</v>
      </c>
      <c r="P11" s="2951">
        <f t="shared" si="6"/>
        <v>3797.5088077247656</v>
      </c>
      <c r="Q11" s="2951">
        <f t="shared" ref="Q11:Q24" si="7">SUM(B11:P11)</f>
        <v>41387.684962220053</v>
      </c>
    </row>
    <row r="12" spans="1:19">
      <c r="A12" s="2947" t="s">
        <v>3099</v>
      </c>
      <c r="B12" s="2950">
        <v>200</v>
      </c>
      <c r="C12" s="2950">
        <f>B12*1.05</f>
        <v>210</v>
      </c>
      <c r="D12" s="2950">
        <f t="shared" si="6"/>
        <v>220.5</v>
      </c>
      <c r="E12" s="2950">
        <f t="shared" si="6"/>
        <v>231.52500000000001</v>
      </c>
      <c r="F12" s="2950">
        <f t="shared" si="6"/>
        <v>243.10125000000002</v>
      </c>
      <c r="G12" s="2950">
        <f t="shared" si="6"/>
        <v>255.25631250000004</v>
      </c>
      <c r="H12" s="2950">
        <f t="shared" si="6"/>
        <v>268.01912812500007</v>
      </c>
      <c r="I12" s="2950">
        <f t="shared" si="6"/>
        <v>281.4200845312501</v>
      </c>
      <c r="J12" s="2950">
        <f t="shared" si="6"/>
        <v>295.49108875781263</v>
      </c>
      <c r="K12" s="2950">
        <f t="shared" si="6"/>
        <v>310.26564319570326</v>
      </c>
      <c r="L12" s="2950">
        <f t="shared" si="6"/>
        <v>325.77892535548841</v>
      </c>
      <c r="M12" s="2950">
        <f t="shared" si="6"/>
        <v>342.06787162326287</v>
      </c>
      <c r="N12" s="2950">
        <f t="shared" si="6"/>
        <v>359.17126520442605</v>
      </c>
      <c r="O12" s="2950">
        <f t="shared" si="6"/>
        <v>377.12982846464735</v>
      </c>
      <c r="P12" s="2950">
        <f t="shared" si="6"/>
        <v>395.98631988787974</v>
      </c>
      <c r="Q12" s="2951">
        <f t="shared" si="7"/>
        <v>4315.7127176454705</v>
      </c>
    </row>
    <row r="13" spans="1:19">
      <c r="A13" s="2947" t="s">
        <v>3100</v>
      </c>
      <c r="B13" s="2950">
        <f>(B10/1.06)*0.0634</f>
        <v>748.47886792452823</v>
      </c>
      <c r="C13" s="2950">
        <f t="shared" ref="C13:P13" si="8">(C10/1.06)*0.0634</f>
        <v>966.19805660377347</v>
      </c>
      <c r="D13" s="2950">
        <f t="shared" si="8"/>
        <v>1081.4457990566036</v>
      </c>
      <c r="E13" s="2950">
        <f t="shared" si="8"/>
        <v>1110.7938833490566</v>
      </c>
      <c r="F13" s="2950">
        <f t="shared" si="8"/>
        <v>1141.1148877429246</v>
      </c>
      <c r="G13" s="2950">
        <f t="shared" si="8"/>
        <v>1172.4475685610141</v>
      </c>
      <c r="H13" s="2950">
        <f t="shared" si="8"/>
        <v>1204.8324221486271</v>
      </c>
      <c r="I13" s="2950">
        <f t="shared" si="8"/>
        <v>1220.480255509035</v>
      </c>
      <c r="J13" s="2950">
        <f t="shared" si="8"/>
        <v>1236.8999758316568</v>
      </c>
      <c r="K13" s="2950">
        <f t="shared" si="8"/>
        <v>1254.1406821704093</v>
      </c>
      <c r="L13" s="2950">
        <f t="shared" si="8"/>
        <v>1272.2434238260996</v>
      </c>
      <c r="M13" s="2950">
        <f t="shared" si="8"/>
        <v>1291.2513025645746</v>
      </c>
      <c r="N13" s="2950">
        <f t="shared" si="8"/>
        <v>1311.209575239973</v>
      </c>
      <c r="O13" s="2950">
        <f t="shared" si="8"/>
        <v>1332.1657615491415</v>
      </c>
      <c r="P13" s="2950">
        <f t="shared" si="8"/>
        <v>1354.1697571737684</v>
      </c>
      <c r="Q13" s="2951">
        <f t="shared" si="7"/>
        <v>17697.872219251189</v>
      </c>
    </row>
    <row r="14" spans="1:19">
      <c r="A14" s="2947" t="s">
        <v>3101</v>
      </c>
      <c r="B14" s="2950">
        <v>2348.44</v>
      </c>
      <c r="C14" s="2950">
        <f>B14*1.05</f>
        <v>2465.8620000000001</v>
      </c>
      <c r="D14" s="2950">
        <f t="shared" ref="D14:P14" si="9">C14*1.05</f>
        <v>2589.1551000000004</v>
      </c>
      <c r="E14" s="2950">
        <f t="shared" si="9"/>
        <v>2718.6128550000008</v>
      </c>
      <c r="F14" s="2950">
        <f t="shared" si="9"/>
        <v>2854.5434977500008</v>
      </c>
      <c r="G14" s="2950">
        <f t="shared" si="9"/>
        <v>2997.2706726375009</v>
      </c>
      <c r="H14" s="2950">
        <f t="shared" si="9"/>
        <v>3147.1342062693761</v>
      </c>
      <c r="I14" s="2950">
        <f t="shared" si="9"/>
        <v>3304.4909165828449</v>
      </c>
      <c r="J14" s="2950">
        <f t="shared" si="9"/>
        <v>3469.7154624119871</v>
      </c>
      <c r="K14" s="2950">
        <f t="shared" si="9"/>
        <v>3643.2012355325865</v>
      </c>
      <c r="L14" s="2950">
        <f t="shared" si="9"/>
        <v>3825.3612973092158</v>
      </c>
      <c r="M14" s="2950">
        <f t="shared" si="9"/>
        <v>4016.6293621746768</v>
      </c>
      <c r="N14" s="2950">
        <f t="shared" si="9"/>
        <v>4217.4608302834104</v>
      </c>
      <c r="O14" s="2950">
        <f t="shared" si="9"/>
        <v>4428.3338717975812</v>
      </c>
      <c r="P14" s="2950">
        <f t="shared" si="9"/>
        <v>4649.7505653874605</v>
      </c>
      <c r="Q14" s="2951">
        <f t="shared" si="7"/>
        <v>50675.961873136635</v>
      </c>
    </row>
    <row r="15" spans="1:19">
      <c r="A15" s="2947" t="s">
        <v>3102</v>
      </c>
      <c r="B15" s="2950"/>
      <c r="C15" s="2950"/>
      <c r="D15" s="2950"/>
      <c r="E15" s="2950"/>
      <c r="F15" s="2950"/>
      <c r="G15" s="2950"/>
      <c r="H15" s="2950"/>
      <c r="I15" s="2950"/>
      <c r="J15" s="2950"/>
      <c r="K15" s="2950"/>
      <c r="L15" s="2950"/>
      <c r="M15" s="2950"/>
      <c r="N15" s="2950"/>
      <c r="O15" s="2950"/>
      <c r="P15" s="2950"/>
      <c r="Q15" s="2951">
        <f t="shared" si="7"/>
        <v>0</v>
      </c>
    </row>
    <row r="16" spans="1:19">
      <c r="A16" s="2947" t="s">
        <v>3103</v>
      </c>
      <c r="B16" s="2950">
        <v>1010</v>
      </c>
      <c r="C16" s="2950">
        <v>1010</v>
      </c>
      <c r="D16" s="2950">
        <v>1010</v>
      </c>
      <c r="E16" s="2950">
        <v>1010</v>
      </c>
      <c r="F16" s="2950">
        <v>1010</v>
      </c>
      <c r="G16" s="2950">
        <v>1010</v>
      </c>
      <c r="H16" s="2950">
        <v>1010</v>
      </c>
      <c r="I16" s="2950">
        <v>1010</v>
      </c>
      <c r="J16" s="2950">
        <v>1010</v>
      </c>
      <c r="K16" s="2950">
        <v>1010</v>
      </c>
      <c r="L16" s="2950">
        <v>1010</v>
      </c>
      <c r="M16" s="2950">
        <v>1010</v>
      </c>
      <c r="N16" s="2950">
        <v>1010</v>
      </c>
      <c r="O16" s="2950">
        <v>1010</v>
      </c>
      <c r="P16" s="2950">
        <v>1010</v>
      </c>
      <c r="Q16" s="2951">
        <f t="shared" si="7"/>
        <v>15150</v>
      </c>
      <c r="S16" s="2955"/>
    </row>
    <row r="17" spans="1:17">
      <c r="A17" s="2947" t="s">
        <v>3104</v>
      </c>
      <c r="B17" s="2948"/>
      <c r="C17" s="2948"/>
      <c r="D17" s="2948"/>
      <c r="E17" s="2948"/>
      <c r="F17" s="2948"/>
      <c r="G17" s="2948"/>
      <c r="H17" s="2948"/>
      <c r="I17" s="2948"/>
      <c r="J17" s="2948"/>
      <c r="K17" s="2948"/>
      <c r="L17" s="2956"/>
      <c r="M17" s="2956"/>
      <c r="N17" s="2956"/>
      <c r="O17" s="2956"/>
      <c r="P17" s="2956"/>
      <c r="Q17" s="2951"/>
    </row>
    <row r="18" spans="1:17">
      <c r="A18" s="2947" t="s">
        <v>3105</v>
      </c>
      <c r="B18" s="2948"/>
      <c r="C18" s="2948"/>
      <c r="D18" s="2948"/>
      <c r="E18" s="2948"/>
      <c r="F18" s="2948"/>
      <c r="G18" s="2948"/>
      <c r="H18" s="2948"/>
      <c r="I18" s="2948"/>
      <c r="J18" s="2948"/>
      <c r="K18" s="2948"/>
      <c r="L18" s="2956"/>
      <c r="M18" s="2956"/>
      <c r="N18" s="2956"/>
      <c r="O18" s="2956"/>
      <c r="P18" s="2956"/>
      <c r="Q18" s="2951"/>
    </row>
    <row r="19" spans="1:17">
      <c r="A19" s="2947" t="s">
        <v>3106</v>
      </c>
      <c r="B19" s="2948">
        <v>5711</v>
      </c>
      <c r="C19" s="2948">
        <v>5711</v>
      </c>
      <c r="D19" s="2948">
        <v>5711</v>
      </c>
      <c r="E19" s="2948">
        <v>5711</v>
      </c>
      <c r="F19" s="2948">
        <v>5711</v>
      </c>
      <c r="G19" s="2948">
        <v>5711</v>
      </c>
      <c r="H19" s="2948">
        <v>5711</v>
      </c>
      <c r="I19" s="2948">
        <v>5711</v>
      </c>
      <c r="J19" s="2948">
        <v>5711</v>
      </c>
      <c r="K19" s="2948">
        <v>5711</v>
      </c>
      <c r="L19" s="2948">
        <v>5711</v>
      </c>
      <c r="M19" s="2948">
        <v>5711</v>
      </c>
      <c r="N19" s="2948">
        <v>5711</v>
      </c>
      <c r="O19" s="2948">
        <v>5711</v>
      </c>
      <c r="P19" s="2948">
        <v>5711</v>
      </c>
      <c r="Q19" s="2951">
        <f t="shared" si="7"/>
        <v>85665</v>
      </c>
    </row>
    <row r="20" spans="1:17">
      <c r="A20" s="2952" t="s">
        <v>3107</v>
      </c>
      <c r="B20" s="2953">
        <f>SUM(B11:B19)</f>
        <v>11935.918867924529</v>
      </c>
      <c r="C20" s="2953">
        <f t="shared" ref="C20:P20" si="10">SUM(C11:C19)</f>
        <v>12376.960056603773</v>
      </c>
      <c r="D20" s="2953">
        <f t="shared" si="10"/>
        <v>12726.695899056604</v>
      </c>
      <c r="E20" s="2953">
        <f t="shared" si="10"/>
        <v>13002.256488349058</v>
      </c>
      <c r="F20" s="2953">
        <f t="shared" si="10"/>
        <v>13291.100622992926</v>
      </c>
      <c r="G20" s="2953">
        <f t="shared" si="10"/>
        <v>13593.882590573516</v>
      </c>
      <c r="H20" s="2953">
        <f t="shared" si="10"/>
        <v>13911.289195261754</v>
      </c>
      <c r="I20" s="2953">
        <f t="shared" si="10"/>
        <v>14226.209867277819</v>
      </c>
      <c r="J20" s="2953">
        <f t="shared" si="10"/>
        <v>14556.86606818888</v>
      </c>
      <c r="K20" s="2953">
        <f t="shared" si="10"/>
        <v>14904.055079145493</v>
      </c>
      <c r="L20" s="2953">
        <f t="shared" si="10"/>
        <v>15268.603540649938</v>
      </c>
      <c r="M20" s="2953">
        <f t="shared" si="10"/>
        <v>15651.379425229605</v>
      </c>
      <c r="N20" s="2953">
        <f t="shared" si="10"/>
        <v>16053.294104038254</v>
      </c>
      <c r="O20" s="2953">
        <f t="shared" si="10"/>
        <v>16475.304516787335</v>
      </c>
      <c r="P20" s="2953">
        <f t="shared" si="10"/>
        <v>16918.415450173874</v>
      </c>
      <c r="Q20" s="2954">
        <f t="shared" si="7"/>
        <v>214892.23177225332</v>
      </c>
    </row>
    <row r="21" spans="1:17">
      <c r="A21" s="2947" t="s">
        <v>3108</v>
      </c>
      <c r="B21" s="2951">
        <f t="shared" ref="B21:P21" si="11">B10-B20</f>
        <v>578.08113207547103</v>
      </c>
      <c r="C21" s="2951">
        <f t="shared" si="11"/>
        <v>3777.139943396227</v>
      </c>
      <c r="D21" s="2951">
        <f t="shared" si="11"/>
        <v>5354.2591009433945</v>
      </c>
      <c r="E21" s="2951">
        <f t="shared" si="11"/>
        <v>5569.376261650943</v>
      </c>
      <c r="F21" s="2951">
        <f t="shared" si="11"/>
        <v>5787.4763645070743</v>
      </c>
      <c r="G21" s="2951">
        <f t="shared" si="11"/>
        <v>6008.5530983014851</v>
      </c>
      <c r="H21" s="2951">
        <f t="shared" si="11"/>
        <v>6232.5967270969995</v>
      </c>
      <c r="I21" s="2951">
        <f t="shared" si="11"/>
        <v>6179.295981926869</v>
      </c>
      <c r="J21" s="2951">
        <f t="shared" si="11"/>
        <v>6123.1650734760442</v>
      </c>
      <c r="K21" s="2951">
        <f t="shared" si="11"/>
        <v>6064.2276196026778</v>
      </c>
      <c r="L21" s="2951">
        <f t="shared" si="11"/>
        <v>6002.3432930356412</v>
      </c>
      <c r="M21" s="2951">
        <f t="shared" si="11"/>
        <v>5937.3647501402575</v>
      </c>
      <c r="N21" s="2951">
        <f t="shared" si="11"/>
        <v>5869.137280100098</v>
      </c>
      <c r="O21" s="2951">
        <f t="shared" si="11"/>
        <v>5797.498436557933</v>
      </c>
      <c r="P21" s="2951">
        <f t="shared" si="11"/>
        <v>5722.2776508386596</v>
      </c>
      <c r="Q21" s="2951">
        <f t="shared" si="7"/>
        <v>81002.792713649789</v>
      </c>
    </row>
    <row r="22" spans="1:17">
      <c r="A22" s="2947" t="s">
        <v>3109</v>
      </c>
      <c r="B22" s="2950">
        <f>B21*0.25</f>
        <v>144.52028301886776</v>
      </c>
      <c r="C22" s="2950">
        <f t="shared" ref="C22:P22" si="12">C21*0.25</f>
        <v>944.28498584905674</v>
      </c>
      <c r="D22" s="2950">
        <f t="shared" si="12"/>
        <v>1338.5647752358486</v>
      </c>
      <c r="E22" s="2950">
        <f t="shared" si="12"/>
        <v>1392.3440654127357</v>
      </c>
      <c r="F22" s="2950">
        <f t="shared" si="12"/>
        <v>1446.8690911267686</v>
      </c>
      <c r="G22" s="2950">
        <f t="shared" si="12"/>
        <v>1502.1382745753713</v>
      </c>
      <c r="H22" s="2950">
        <f t="shared" si="12"/>
        <v>1558.1491817742499</v>
      </c>
      <c r="I22" s="2950">
        <f t="shared" si="12"/>
        <v>1544.8239954817172</v>
      </c>
      <c r="J22" s="2950">
        <f t="shared" si="12"/>
        <v>1530.791268369011</v>
      </c>
      <c r="K22" s="2950">
        <f t="shared" si="12"/>
        <v>1516.0569049006695</v>
      </c>
      <c r="L22" s="2950">
        <f t="shared" si="12"/>
        <v>1500.5858232589103</v>
      </c>
      <c r="M22" s="2950">
        <f t="shared" si="12"/>
        <v>1484.3411875350644</v>
      </c>
      <c r="N22" s="2950">
        <f t="shared" si="12"/>
        <v>1467.2843200250245</v>
      </c>
      <c r="O22" s="2950">
        <f t="shared" si="12"/>
        <v>1449.3746091394833</v>
      </c>
      <c r="P22" s="2950">
        <f t="shared" si="12"/>
        <v>1430.5694127096649</v>
      </c>
      <c r="Q22" s="2951">
        <f t="shared" si="7"/>
        <v>20250.698178412447</v>
      </c>
    </row>
    <row r="23" spans="1:17">
      <c r="A23" s="2947" t="s">
        <v>3110</v>
      </c>
      <c r="B23" s="2950">
        <f t="shared" ref="B23:P23" si="13">B21-B22</f>
        <v>433.56084905660327</v>
      </c>
      <c r="C23" s="2950">
        <f t="shared" si="13"/>
        <v>2832.8549575471702</v>
      </c>
      <c r="D23" s="2950">
        <f t="shared" si="13"/>
        <v>4015.6943257075459</v>
      </c>
      <c r="E23" s="2950">
        <f t="shared" si="13"/>
        <v>4177.0321962382077</v>
      </c>
      <c r="F23" s="2950">
        <f t="shared" si="13"/>
        <v>4340.6072733803057</v>
      </c>
      <c r="G23" s="2950">
        <f t="shared" si="13"/>
        <v>4506.4148237261143</v>
      </c>
      <c r="H23" s="2950">
        <f t="shared" si="13"/>
        <v>4674.4475453227496</v>
      </c>
      <c r="I23" s="2950">
        <f t="shared" si="13"/>
        <v>4634.4719864451517</v>
      </c>
      <c r="J23" s="2950">
        <f t="shared" si="13"/>
        <v>4592.3738051070331</v>
      </c>
      <c r="K23" s="2950">
        <f t="shared" si="13"/>
        <v>4548.1707147020079</v>
      </c>
      <c r="L23" s="2950">
        <f t="shared" si="13"/>
        <v>4501.7574697767304</v>
      </c>
      <c r="M23" s="2950">
        <f t="shared" si="13"/>
        <v>4453.0235626051926</v>
      </c>
      <c r="N23" s="2950">
        <f t="shared" si="13"/>
        <v>4401.8529600750735</v>
      </c>
      <c r="O23" s="2950">
        <f t="shared" si="13"/>
        <v>4348.1238274184498</v>
      </c>
      <c r="P23" s="2950">
        <f t="shared" si="13"/>
        <v>4291.7082381289947</v>
      </c>
      <c r="Q23" s="2951">
        <f t="shared" si="7"/>
        <v>60752.094535237331</v>
      </c>
    </row>
    <row r="24" spans="1:17">
      <c r="A24" s="2952" t="s">
        <v>3111</v>
      </c>
      <c r="B24" s="2953">
        <f t="shared" ref="B24:P24" si="14">B19+B23</f>
        <v>6144.5608490566028</v>
      </c>
      <c r="C24" s="2953">
        <f t="shared" si="14"/>
        <v>8543.8549575471698</v>
      </c>
      <c r="D24" s="2953">
        <f t="shared" si="14"/>
        <v>9726.6943257075454</v>
      </c>
      <c r="E24" s="2953">
        <f t="shared" si="14"/>
        <v>9888.0321962382077</v>
      </c>
      <c r="F24" s="2953">
        <f t="shared" si="14"/>
        <v>10051.607273380305</v>
      </c>
      <c r="G24" s="2953">
        <f t="shared" si="14"/>
        <v>10217.414823726114</v>
      </c>
      <c r="H24" s="2953">
        <f t="shared" si="14"/>
        <v>10385.44754532275</v>
      </c>
      <c r="I24" s="2953">
        <f t="shared" si="14"/>
        <v>10345.471986445151</v>
      </c>
      <c r="J24" s="2953">
        <f t="shared" si="14"/>
        <v>10303.373805107032</v>
      </c>
      <c r="K24" s="2953">
        <f t="shared" si="14"/>
        <v>10259.170714702008</v>
      </c>
      <c r="L24" s="2953">
        <f t="shared" si="14"/>
        <v>10212.75746977673</v>
      </c>
      <c r="M24" s="2953">
        <f t="shared" si="14"/>
        <v>10164.023562605193</v>
      </c>
      <c r="N24" s="2953">
        <f t="shared" si="14"/>
        <v>10112.852960075073</v>
      </c>
      <c r="O24" s="2953">
        <f t="shared" si="14"/>
        <v>10059.123827418451</v>
      </c>
      <c r="P24" s="2953">
        <f t="shared" si="14"/>
        <v>10002.708238128995</v>
      </c>
      <c r="Q24" s="2954">
        <f t="shared" si="7"/>
        <v>146417.09453523729</v>
      </c>
    </row>
    <row r="26" spans="1:17" ht="29.25" customHeight="1">
      <c r="A26" s="3303" t="s">
        <v>3225</v>
      </c>
      <c r="B26" s="3303"/>
      <c r="C26" s="3303"/>
      <c r="D26" s="3303"/>
      <c r="E26" s="3303"/>
      <c r="F26" s="3303"/>
      <c r="G26" s="3303"/>
      <c r="H26" s="3303"/>
      <c r="I26" s="3303"/>
      <c r="J26" s="3303"/>
      <c r="K26" s="3303"/>
      <c r="L26" s="3303"/>
      <c r="M26" s="3303"/>
      <c r="N26" s="3303"/>
      <c r="O26" s="3303"/>
      <c r="P26" s="3303"/>
      <c r="Q26" s="3303"/>
    </row>
    <row r="27" spans="1:17" ht="14.25">
      <c r="A27" s="2957" t="s">
        <v>3112</v>
      </c>
      <c r="B27" s="2957"/>
      <c r="C27" s="2958"/>
      <c r="D27" s="2959"/>
      <c r="E27" s="2959"/>
      <c r="F27" s="2959"/>
      <c r="G27" s="2959"/>
      <c r="H27" s="2957" t="s">
        <v>3113</v>
      </c>
      <c r="I27" s="2957"/>
      <c r="J27" s="2957"/>
      <c r="K27" s="2957"/>
      <c r="L27" s="2958"/>
      <c r="M27" s="2958"/>
      <c r="N27" s="2960"/>
      <c r="O27" s="2960"/>
      <c r="P27" s="2960"/>
      <c r="Q27" s="2960"/>
    </row>
    <row r="28" spans="1:17">
      <c r="A28" s="3304" t="s">
        <v>3114</v>
      </c>
      <c r="B28" s="3304"/>
      <c r="C28" s="3304"/>
      <c r="D28" s="3304"/>
      <c r="E28" s="3304"/>
      <c r="F28" s="3304"/>
      <c r="G28" s="3304"/>
      <c r="H28" s="3304"/>
      <c r="I28" s="3304"/>
      <c r="J28" s="3304"/>
      <c r="K28" s="3304"/>
      <c r="L28" s="3304"/>
      <c r="M28" s="3304"/>
      <c r="N28" s="3304"/>
      <c r="O28" s="3304"/>
      <c r="P28" s="3304"/>
      <c r="Q28" s="3304"/>
    </row>
    <row r="29" spans="1:17">
      <c r="A29" s="2957" t="s">
        <v>3115</v>
      </c>
      <c r="B29" s="2961"/>
      <c r="C29" s="2961"/>
      <c r="D29" s="2962"/>
      <c r="E29" s="2962"/>
      <c r="F29" s="2962"/>
      <c r="G29" s="2962"/>
      <c r="H29" s="2962"/>
      <c r="I29" s="2962"/>
      <c r="J29" s="2962"/>
      <c r="K29" s="2962"/>
      <c r="L29" s="2962"/>
      <c r="M29" s="2962"/>
      <c r="N29" s="2960"/>
      <c r="O29" s="2960"/>
      <c r="P29" s="2960"/>
      <c r="Q29" s="2960"/>
    </row>
    <row r="31" spans="1:17">
      <c r="B31" s="2969">
        <f>C10/B10-1</f>
        <v>0.29088221192264663</v>
      </c>
      <c r="C31" s="2969">
        <f t="shared" ref="C31:Q31" si="15">D10/C10-1</f>
        <v>0.11927962560588323</v>
      </c>
      <c r="D31" s="2969">
        <f t="shared" si="15"/>
        <v>2.7137822642664844E-2</v>
      </c>
      <c r="E31" s="2969">
        <f t="shared" si="15"/>
        <v>2.7296697297656713E-2</v>
      </c>
      <c r="F31" s="2969">
        <f t="shared" si="15"/>
        <v>2.7457954632477355E-2</v>
      </c>
      <c r="G31" s="2969">
        <f t="shared" si="15"/>
        <v>2.7621579383170447E-2</v>
      </c>
      <c r="H31" s="2969">
        <f t="shared" si="15"/>
        <v>1.2987559989880104E-2</v>
      </c>
      <c r="I31" s="2969">
        <f t="shared" si="15"/>
        <v>1.3453491155228425E-2</v>
      </c>
      <c r="J31" s="2969">
        <f t="shared" si="15"/>
        <v>1.3938642311930316E-2</v>
      </c>
      <c r="K31" s="2969">
        <f t="shared" si="15"/>
        <v>1.4434378784652591E-2</v>
      </c>
      <c r="L31" s="2969">
        <f t="shared" si="15"/>
        <v>1.494044172876241E-2</v>
      </c>
      <c r="M31" s="2969">
        <f t="shared" si="15"/>
        <v>1.5456536334762072E-2</v>
      </c>
      <c r="N31" s="2969">
        <f t="shared" si="15"/>
        <v>1.5982331661460902E-2</v>
      </c>
      <c r="O31" s="2969">
        <f t="shared" si="15"/>
        <v>1.6517460709273291E-2</v>
      </c>
      <c r="P31" s="2969">
        <f t="shared" si="15"/>
        <v>12.069168119798867</v>
      </c>
      <c r="Q31" s="2969">
        <f t="shared" si="15"/>
        <v>-1</v>
      </c>
    </row>
    <row r="33" spans="1:27" ht="14.25">
      <c r="A33" s="2964"/>
      <c r="B33">
        <v>50</v>
      </c>
      <c r="C33">
        <v>70</v>
      </c>
      <c r="D33">
        <v>80</v>
      </c>
      <c r="E33">
        <v>82</v>
      </c>
      <c r="F33">
        <v>84</v>
      </c>
      <c r="G33">
        <v>86</v>
      </c>
      <c r="H33">
        <v>88</v>
      </c>
      <c r="I33">
        <v>88</v>
      </c>
      <c r="J33">
        <v>88</v>
      </c>
      <c r="K33">
        <v>88</v>
      </c>
      <c r="L33">
        <v>88</v>
      </c>
      <c r="M33">
        <v>88</v>
      </c>
      <c r="N33">
        <v>88</v>
      </c>
      <c r="O33">
        <v>88</v>
      </c>
      <c r="P33">
        <v>88</v>
      </c>
      <c r="Q33">
        <v>88</v>
      </c>
      <c r="R33">
        <v>88</v>
      </c>
      <c r="S33">
        <v>88</v>
      </c>
      <c r="T33">
        <v>88</v>
      </c>
      <c r="U33">
        <v>88</v>
      </c>
      <c r="V33">
        <v>88</v>
      </c>
      <c r="W33">
        <v>88</v>
      </c>
      <c r="X33">
        <v>88</v>
      </c>
      <c r="Y33">
        <v>88</v>
      </c>
      <c r="Z33">
        <v>88</v>
      </c>
      <c r="AA33">
        <v>88</v>
      </c>
    </row>
    <row r="34" spans="1:27">
      <c r="B34" s="2963">
        <v>2019</v>
      </c>
      <c r="C34" s="2963">
        <v>2020</v>
      </c>
      <c r="D34" s="2963">
        <v>2021</v>
      </c>
      <c r="E34" s="2963">
        <v>2022</v>
      </c>
      <c r="F34" s="2963">
        <v>2023</v>
      </c>
      <c r="G34" s="2963">
        <v>2024</v>
      </c>
      <c r="H34" s="2963">
        <v>2025</v>
      </c>
      <c r="I34" s="2963">
        <v>2026</v>
      </c>
      <c r="J34" s="2963">
        <v>2027</v>
      </c>
      <c r="K34" s="2963">
        <v>2028</v>
      </c>
      <c r="L34" s="2963">
        <v>2029</v>
      </c>
      <c r="M34" s="2963">
        <v>2030</v>
      </c>
      <c r="N34" s="2963">
        <v>2031</v>
      </c>
      <c r="O34" s="2963">
        <v>2032</v>
      </c>
      <c r="P34" s="2963">
        <v>2033</v>
      </c>
      <c r="Q34" s="2963">
        <v>2034</v>
      </c>
      <c r="R34" s="2963">
        <v>2035</v>
      </c>
      <c r="S34" s="2963">
        <v>2036</v>
      </c>
      <c r="T34" s="2963">
        <v>2037</v>
      </c>
      <c r="U34" s="2963">
        <v>2038</v>
      </c>
      <c r="V34" s="2963">
        <v>2039</v>
      </c>
      <c r="W34" s="2963">
        <v>2040</v>
      </c>
      <c r="X34" s="2963">
        <v>2041</v>
      </c>
      <c r="Y34" s="2963">
        <v>2042</v>
      </c>
      <c r="Z34" s="2963">
        <v>2043</v>
      </c>
      <c r="AA34" s="2963">
        <v>2044</v>
      </c>
    </row>
    <row r="36" spans="1:27">
      <c r="C36">
        <f>C10/B10-1</f>
        <v>0.29088221192264663</v>
      </c>
      <c r="D36">
        <f t="shared" ref="D36:N36" si="16">D10/C10-1</f>
        <v>0.11927962560588323</v>
      </c>
      <c r="E36">
        <f t="shared" si="16"/>
        <v>2.7137822642664844E-2</v>
      </c>
      <c r="F36">
        <f t="shared" si="16"/>
        <v>2.7296697297656713E-2</v>
      </c>
      <c r="G36">
        <f t="shared" si="16"/>
        <v>2.7457954632477355E-2</v>
      </c>
      <c r="H36">
        <f t="shared" si="16"/>
        <v>2.7621579383170447E-2</v>
      </c>
      <c r="I36">
        <f t="shared" si="16"/>
        <v>1.2987559989880104E-2</v>
      </c>
      <c r="J36">
        <f t="shared" si="16"/>
        <v>1.3453491155228425E-2</v>
      </c>
      <c r="K36">
        <f t="shared" si="16"/>
        <v>1.3938642311930316E-2</v>
      </c>
      <c r="L36">
        <f t="shared" si="16"/>
        <v>1.4434378784652591E-2</v>
      </c>
      <c r="M36">
        <f t="shared" si="16"/>
        <v>1.494044172876241E-2</v>
      </c>
      <c r="N36">
        <f>N10/M10-1</f>
        <v>1.5456536334762072E-2</v>
      </c>
    </row>
    <row r="38" spans="1:27">
      <c r="B38" s="2963"/>
      <c r="C38" s="2963"/>
      <c r="D38" s="2963"/>
      <c r="E38" s="2963"/>
      <c r="F38" s="2963"/>
      <c r="G38" s="2963"/>
      <c r="H38" s="2963"/>
      <c r="I38" s="2963"/>
      <c r="J38" s="2963"/>
      <c r="K38" s="2963"/>
      <c r="L38" s="2963"/>
      <c r="M38" s="2963"/>
    </row>
  </sheetData>
  <mergeCells count="3">
    <mergeCell ref="A1:Q1"/>
    <mergeCell ref="A26:Q26"/>
    <mergeCell ref="A28:Q2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I36" sqref="I36"/>
    </sheetView>
  </sheetViews>
  <sheetFormatPr defaultRowHeight="13.5"/>
  <cols>
    <col min="1" max="1" width="26.125" customWidth="1"/>
    <col min="2" max="2" width="6.375" customWidth="1"/>
    <col min="4" max="4" width="14.125" customWidth="1"/>
    <col min="5" max="5" width="13.125" customWidth="1"/>
    <col min="6" max="6" width="17.5" customWidth="1"/>
    <col min="9" max="9" width="14.875" customWidth="1"/>
    <col min="10" max="10" width="10.625" customWidth="1"/>
    <col min="11" max="11" width="10.75" customWidth="1"/>
    <col min="12" max="12" width="12.375" customWidth="1"/>
  </cols>
  <sheetData>
    <row r="1" spans="1:13">
      <c r="A1" s="2965" t="s">
        <v>3119</v>
      </c>
      <c r="B1" s="2965" t="s">
        <v>3120</v>
      </c>
      <c r="C1" s="2965" t="s">
        <v>3121</v>
      </c>
      <c r="D1" s="2965" t="s">
        <v>3122</v>
      </c>
      <c r="E1" s="2965" t="s">
        <v>3123</v>
      </c>
      <c r="F1" s="2965" t="s">
        <v>3124</v>
      </c>
      <c r="G1" s="2965" t="s">
        <v>3125</v>
      </c>
      <c r="H1" s="2965" t="s">
        <v>3126</v>
      </c>
      <c r="I1" s="2965" t="s">
        <v>3127</v>
      </c>
      <c r="J1" s="2965" t="s">
        <v>3128</v>
      </c>
      <c r="K1" s="2965" t="s">
        <v>3129</v>
      </c>
      <c r="L1" s="2965" t="s">
        <v>3130</v>
      </c>
      <c r="M1" s="2965" t="s">
        <v>3131</v>
      </c>
    </row>
    <row r="2" spans="1:13" s="2967" customFormat="1">
      <c r="A2" s="2966" t="s">
        <v>3132</v>
      </c>
      <c r="B2" s="2966" t="s">
        <v>3054</v>
      </c>
      <c r="C2" s="2966" t="s">
        <v>3133</v>
      </c>
      <c r="D2" s="2966">
        <v>51736.9</v>
      </c>
      <c r="E2" s="2966">
        <v>81600.05</v>
      </c>
      <c r="F2" s="2966" t="s">
        <v>3134</v>
      </c>
      <c r="G2" s="2966" t="s">
        <v>3135</v>
      </c>
      <c r="H2" s="2966" t="s">
        <v>3136</v>
      </c>
      <c r="I2" s="2966" t="s">
        <v>3137</v>
      </c>
      <c r="J2" s="2966">
        <v>150000</v>
      </c>
      <c r="K2" s="2966">
        <v>150000</v>
      </c>
      <c r="L2" s="2966">
        <v>18382.34</v>
      </c>
      <c r="M2" s="2966">
        <v>0</v>
      </c>
    </row>
    <row r="3" spans="1:13" s="2967" customFormat="1">
      <c r="A3" s="2966" t="s">
        <v>3138</v>
      </c>
      <c r="B3" s="2966" t="s">
        <v>3054</v>
      </c>
      <c r="C3" s="2966" t="s">
        <v>3133</v>
      </c>
      <c r="D3" s="2966">
        <v>33071.620000000003</v>
      </c>
      <c r="E3" s="2966">
        <v>122423.9</v>
      </c>
      <c r="F3" s="2966">
        <v>3.7</v>
      </c>
      <c r="G3" s="2966" t="s">
        <v>3135</v>
      </c>
      <c r="H3" s="2966" t="s">
        <v>3139</v>
      </c>
      <c r="I3" s="2966" t="s">
        <v>3140</v>
      </c>
      <c r="J3" s="2966">
        <v>183000</v>
      </c>
      <c r="K3" s="2966">
        <v>183000</v>
      </c>
      <c r="L3" s="2966">
        <v>14948.05</v>
      </c>
      <c r="M3" s="2966">
        <v>0</v>
      </c>
    </row>
    <row r="4" spans="1:13" s="2967" customFormat="1">
      <c r="A4" s="2966" t="s">
        <v>3141</v>
      </c>
      <c r="B4" s="2966" t="s">
        <v>3054</v>
      </c>
      <c r="C4" s="2966" t="s">
        <v>3133</v>
      </c>
      <c r="D4" s="2966">
        <v>66237.2</v>
      </c>
      <c r="E4" s="2966">
        <v>264058.7</v>
      </c>
      <c r="F4" s="2966">
        <v>3.99</v>
      </c>
      <c r="G4" s="2966" t="s">
        <v>3135</v>
      </c>
      <c r="H4" s="2966" t="s">
        <v>3142</v>
      </c>
      <c r="I4" s="2966" t="s">
        <v>3143</v>
      </c>
      <c r="J4" s="2966">
        <v>385000</v>
      </c>
      <c r="K4" s="2966">
        <v>385000</v>
      </c>
      <c r="L4" s="2966">
        <v>14580.09</v>
      </c>
      <c r="M4" s="2966">
        <v>0</v>
      </c>
    </row>
    <row r="5" spans="1:13">
      <c r="A5" s="2965" t="s">
        <v>3144</v>
      </c>
      <c r="B5" s="2965" t="s">
        <v>3054</v>
      </c>
      <c r="C5" s="2965" t="s">
        <v>3133</v>
      </c>
      <c r="D5" s="2965">
        <v>18303.330000000002</v>
      </c>
      <c r="E5" s="2965">
        <v>58571</v>
      </c>
      <c r="F5" s="2965">
        <v>3.2</v>
      </c>
      <c r="G5" s="2965" t="s">
        <v>3135</v>
      </c>
      <c r="H5" s="2965" t="s">
        <v>3145</v>
      </c>
      <c r="I5" s="2965" t="s">
        <v>3146</v>
      </c>
      <c r="J5" s="2965">
        <v>79600</v>
      </c>
      <c r="K5" s="2965">
        <v>129000</v>
      </c>
      <c r="L5" s="2965">
        <v>22024.54</v>
      </c>
      <c r="M5" s="2965">
        <v>62.06</v>
      </c>
    </row>
    <row r="6" spans="1:13">
      <c r="A6" s="2965" t="s">
        <v>3147</v>
      </c>
      <c r="B6" s="2965" t="s">
        <v>3054</v>
      </c>
      <c r="C6" s="2965" t="s">
        <v>3133</v>
      </c>
      <c r="D6" s="2965">
        <v>29183.54</v>
      </c>
      <c r="E6" s="2965">
        <v>72959</v>
      </c>
      <c r="F6" s="2965">
        <v>2.5</v>
      </c>
      <c r="G6" s="2965" t="s">
        <v>3135</v>
      </c>
      <c r="H6" s="2965" t="s">
        <v>3148</v>
      </c>
      <c r="I6" s="2965" t="s">
        <v>3149</v>
      </c>
      <c r="J6" s="2965">
        <v>83000</v>
      </c>
      <c r="K6" s="2965">
        <v>106000</v>
      </c>
      <c r="L6" s="2965">
        <v>14528.7</v>
      </c>
      <c r="M6" s="2965">
        <v>27.71</v>
      </c>
    </row>
    <row r="7" spans="1:13">
      <c r="A7" s="2965" t="s">
        <v>3150</v>
      </c>
      <c r="B7" s="2965" t="s">
        <v>3054</v>
      </c>
      <c r="C7" s="2965" t="s">
        <v>3133</v>
      </c>
      <c r="D7" s="2965">
        <v>23639.39</v>
      </c>
      <c r="E7" s="2965">
        <v>75646</v>
      </c>
      <c r="F7" s="2965">
        <v>3.2</v>
      </c>
      <c r="G7" s="2965" t="s">
        <v>3135</v>
      </c>
      <c r="H7" s="2965" t="s">
        <v>3151</v>
      </c>
      <c r="I7" s="2965" t="s">
        <v>3152</v>
      </c>
      <c r="J7" s="2965">
        <v>102000</v>
      </c>
      <c r="K7" s="2965">
        <v>103020</v>
      </c>
      <c r="L7" s="2965">
        <v>13618.7</v>
      </c>
      <c r="M7" s="2965">
        <v>1</v>
      </c>
    </row>
    <row r="8" spans="1:13">
      <c r="A8" s="2965" t="s">
        <v>3153</v>
      </c>
      <c r="B8" s="2965" t="s">
        <v>3054</v>
      </c>
      <c r="C8" s="2965" t="s">
        <v>3133</v>
      </c>
      <c r="D8" s="2965">
        <v>33619.79</v>
      </c>
      <c r="E8" s="2965">
        <v>134479</v>
      </c>
      <c r="F8" s="2965">
        <v>4</v>
      </c>
      <c r="G8" s="2965" t="s">
        <v>3135</v>
      </c>
      <c r="H8" s="2965" t="s">
        <v>3154</v>
      </c>
      <c r="I8" s="2965" t="s">
        <v>3155</v>
      </c>
      <c r="J8" s="2965">
        <v>153000</v>
      </c>
      <c r="K8" s="2965">
        <v>334000</v>
      </c>
      <c r="L8" s="2965">
        <v>24836.59</v>
      </c>
      <c r="M8" s="2965">
        <v>118.3</v>
      </c>
    </row>
    <row r="9" spans="1:13">
      <c r="A9" s="2965" t="s">
        <v>3156</v>
      </c>
      <c r="B9" s="2965" t="s">
        <v>3054</v>
      </c>
      <c r="C9" s="2965" t="s">
        <v>3133</v>
      </c>
      <c r="D9" s="2965">
        <v>71916.58</v>
      </c>
      <c r="E9" s="2965">
        <v>107875</v>
      </c>
      <c r="F9" s="2965">
        <v>1.5</v>
      </c>
      <c r="G9" s="2965" t="s">
        <v>3135</v>
      </c>
      <c r="H9" s="2965" t="s">
        <v>3157</v>
      </c>
      <c r="I9" s="2965" t="s">
        <v>3158</v>
      </c>
      <c r="J9" s="2965">
        <v>90000</v>
      </c>
      <c r="K9" s="2965">
        <v>181000</v>
      </c>
      <c r="L9" s="2965">
        <v>16778.68</v>
      </c>
      <c r="M9" s="2965">
        <v>101.11</v>
      </c>
    </row>
    <row r="10" spans="1:13">
      <c r="A10" s="2965" t="s">
        <v>3159</v>
      </c>
      <c r="B10" s="2965" t="s">
        <v>3054</v>
      </c>
      <c r="C10" s="2965" t="s">
        <v>3133</v>
      </c>
      <c r="D10" s="2965">
        <v>47919.26</v>
      </c>
      <c r="E10" s="2965">
        <v>143758</v>
      </c>
      <c r="F10" s="2965">
        <v>3</v>
      </c>
      <c r="G10" s="2965" t="s">
        <v>3135</v>
      </c>
      <c r="H10" s="2965" t="s">
        <v>3160</v>
      </c>
      <c r="I10" s="2965" t="s">
        <v>3158</v>
      </c>
      <c r="J10" s="2965">
        <v>120000</v>
      </c>
      <c r="K10" s="2965">
        <v>130000</v>
      </c>
      <c r="L10" s="2965">
        <v>9042.9599999999991</v>
      </c>
      <c r="M10" s="2965">
        <v>8.33</v>
      </c>
    </row>
    <row r="11" spans="1:13">
      <c r="A11" s="2965" t="s">
        <v>3161</v>
      </c>
      <c r="B11" s="2965" t="s">
        <v>3054</v>
      </c>
      <c r="C11" s="2965" t="s">
        <v>3133</v>
      </c>
      <c r="D11" s="2965">
        <v>61900.3</v>
      </c>
      <c r="E11" s="2965">
        <v>111421</v>
      </c>
      <c r="F11" s="2965">
        <v>1.8</v>
      </c>
      <c r="G11" s="2965" t="s">
        <v>3135</v>
      </c>
      <c r="H11" s="2965" t="s">
        <v>3162</v>
      </c>
      <c r="I11" s="2965" t="s">
        <v>3158</v>
      </c>
      <c r="J11" s="2965">
        <v>89500</v>
      </c>
      <c r="K11" s="2965">
        <v>197000</v>
      </c>
      <c r="L11" s="2965">
        <v>17680.68</v>
      </c>
      <c r="M11" s="2965">
        <v>120.11</v>
      </c>
    </row>
    <row r="12" spans="1:13">
      <c r="A12" s="2965" t="s">
        <v>3163</v>
      </c>
      <c r="B12" s="2965" t="s">
        <v>3054</v>
      </c>
      <c r="C12" s="2965" t="s">
        <v>3133</v>
      </c>
      <c r="D12" s="2965">
        <v>66594.820000000007</v>
      </c>
      <c r="E12" s="2965">
        <v>119871</v>
      </c>
      <c r="F12" s="2965">
        <v>1.8</v>
      </c>
      <c r="G12" s="2965" t="s">
        <v>3135</v>
      </c>
      <c r="H12" s="2965" t="s">
        <v>3162</v>
      </c>
      <c r="I12" s="2965" t="s">
        <v>3158</v>
      </c>
      <c r="J12" s="2965">
        <v>96000</v>
      </c>
      <c r="K12" s="2965">
        <v>196000</v>
      </c>
      <c r="L12" s="2965">
        <v>16350.9</v>
      </c>
      <c r="M12" s="2965">
        <v>104.17</v>
      </c>
    </row>
    <row r="13" spans="1:13">
      <c r="A13" s="2965" t="s">
        <v>3164</v>
      </c>
      <c r="B13" s="2965" t="s">
        <v>3054</v>
      </c>
      <c r="C13" s="2965" t="s">
        <v>3133</v>
      </c>
      <c r="D13" s="2965">
        <v>24464</v>
      </c>
      <c r="E13" s="2965">
        <v>48928</v>
      </c>
      <c r="F13" s="2965">
        <v>2</v>
      </c>
      <c r="G13" s="2965" t="s">
        <v>3135</v>
      </c>
      <c r="H13" s="2965" t="s">
        <v>3165</v>
      </c>
      <c r="I13" s="2965" t="s">
        <v>3166</v>
      </c>
      <c r="J13" s="2965">
        <v>28200</v>
      </c>
      <c r="K13" s="2965">
        <v>46800</v>
      </c>
      <c r="L13" s="2965">
        <v>9565.07</v>
      </c>
      <c r="M13" s="2965">
        <v>65.959999999999994</v>
      </c>
    </row>
    <row r="14" spans="1:13">
      <c r="A14" s="2965" t="s">
        <v>3167</v>
      </c>
      <c r="B14" s="2965" t="s">
        <v>3054</v>
      </c>
      <c r="C14" s="2965" t="s">
        <v>3133</v>
      </c>
      <c r="D14" s="2965">
        <v>38024.39</v>
      </c>
      <c r="E14" s="2965">
        <v>106468</v>
      </c>
      <c r="F14" s="2965">
        <v>2.8</v>
      </c>
      <c r="G14" s="2965" t="s">
        <v>3135</v>
      </c>
      <c r="H14" s="2965" t="s">
        <v>3168</v>
      </c>
      <c r="I14" s="2965" t="s">
        <v>3169</v>
      </c>
      <c r="J14" s="2965">
        <v>87000</v>
      </c>
      <c r="K14" s="2965">
        <v>97000</v>
      </c>
      <c r="L14" s="2965">
        <v>9110.7099999999991</v>
      </c>
      <c r="M14" s="2965">
        <v>11.49</v>
      </c>
    </row>
    <row r="15" spans="1:13">
      <c r="A15" s="2965" t="s">
        <v>3170</v>
      </c>
      <c r="B15" s="2965" t="s">
        <v>3054</v>
      </c>
      <c r="C15" s="2965" t="s">
        <v>3133</v>
      </c>
      <c r="D15" s="2965">
        <v>13920.77</v>
      </c>
      <c r="E15" s="2965">
        <v>16705</v>
      </c>
      <c r="F15" s="2965">
        <v>1.2</v>
      </c>
      <c r="G15" s="2965" t="s">
        <v>3135</v>
      </c>
      <c r="H15" s="2965" t="s">
        <v>3171</v>
      </c>
      <c r="I15" s="2965" t="s">
        <v>3172</v>
      </c>
      <c r="J15" s="2965">
        <v>10500</v>
      </c>
      <c r="K15" s="2965">
        <v>12200</v>
      </c>
      <c r="L15" s="2965">
        <v>7303.19</v>
      </c>
      <c r="M15" s="2965">
        <v>16.190000000000001</v>
      </c>
    </row>
    <row r="16" spans="1:13">
      <c r="A16" s="2965" t="s">
        <v>3173</v>
      </c>
      <c r="B16" s="2965" t="s">
        <v>3054</v>
      </c>
      <c r="C16" s="2965" t="s">
        <v>3133</v>
      </c>
      <c r="D16" s="2965">
        <v>6189.23</v>
      </c>
      <c r="E16" s="2965">
        <v>6189</v>
      </c>
      <c r="F16" s="2965">
        <v>1</v>
      </c>
      <c r="G16" s="2965" t="s">
        <v>3135</v>
      </c>
      <c r="H16" s="2965" t="s">
        <v>3174</v>
      </c>
      <c r="I16" s="2965" t="s">
        <v>3175</v>
      </c>
      <c r="J16" s="2965">
        <v>7500</v>
      </c>
      <c r="K16" s="2965">
        <v>12900</v>
      </c>
      <c r="L16" s="2965">
        <v>20843.43</v>
      </c>
      <c r="M16" s="2965">
        <v>72</v>
      </c>
    </row>
    <row r="17" spans="1:13">
      <c r="A17" s="2965" t="s">
        <v>3176</v>
      </c>
      <c r="B17" s="2965" t="s">
        <v>3054</v>
      </c>
      <c r="C17" s="2965" t="s">
        <v>3133</v>
      </c>
      <c r="D17" s="2965">
        <v>40417.42</v>
      </c>
      <c r="E17" s="2965">
        <v>121252</v>
      </c>
      <c r="F17" s="2965">
        <v>3</v>
      </c>
      <c r="G17" s="2965" t="s">
        <v>3135</v>
      </c>
      <c r="H17" s="2965" t="s">
        <v>3177</v>
      </c>
      <c r="I17" s="2965" t="s">
        <v>3178</v>
      </c>
      <c r="J17" s="2965">
        <v>103000</v>
      </c>
      <c r="K17" s="2965">
        <v>191000</v>
      </c>
      <c r="L17" s="2965">
        <v>15752.31</v>
      </c>
      <c r="M17" s="2965">
        <v>85.44</v>
      </c>
    </row>
    <row r="18" spans="1:13">
      <c r="A18" s="2965" t="s">
        <v>3179</v>
      </c>
      <c r="B18" s="2965" t="s">
        <v>3054</v>
      </c>
      <c r="C18" s="2965" t="s">
        <v>3133</v>
      </c>
      <c r="D18" s="2965">
        <v>48028.78</v>
      </c>
      <c r="E18" s="2965">
        <v>122714</v>
      </c>
      <c r="F18" s="2965">
        <v>2.56</v>
      </c>
      <c r="G18" s="2965" t="s">
        <v>3135</v>
      </c>
      <c r="H18" s="2965" t="s">
        <v>3177</v>
      </c>
      <c r="I18" s="2965" t="s">
        <v>3180</v>
      </c>
      <c r="J18" s="2965">
        <v>98000</v>
      </c>
      <c r="K18" s="2965">
        <v>108000</v>
      </c>
      <c r="L18" s="2965">
        <v>8800.9500000000007</v>
      </c>
      <c r="M18" s="2965">
        <v>10.199999999999999</v>
      </c>
    </row>
    <row r="19" spans="1:13">
      <c r="A19" s="2965" t="s">
        <v>3181</v>
      </c>
      <c r="B19" s="2965" t="s">
        <v>3054</v>
      </c>
      <c r="C19" s="2965" t="s">
        <v>3133</v>
      </c>
      <c r="D19" s="2965">
        <v>46923.74</v>
      </c>
      <c r="E19" s="2965">
        <v>94797</v>
      </c>
      <c r="F19" s="2965">
        <v>2.02</v>
      </c>
      <c r="G19" s="2965" t="s">
        <v>3135</v>
      </c>
      <c r="H19" s="2965" t="s">
        <v>3182</v>
      </c>
      <c r="I19" s="2965" t="s">
        <v>3183</v>
      </c>
      <c r="J19" s="2965">
        <v>75900</v>
      </c>
      <c r="K19" s="2965">
        <v>76300</v>
      </c>
      <c r="L19" s="2965">
        <v>8048.77</v>
      </c>
      <c r="M19" s="2965">
        <v>0.53</v>
      </c>
    </row>
    <row r="20" spans="1:13">
      <c r="A20" s="2965" t="s">
        <v>3184</v>
      </c>
      <c r="B20" s="2965" t="s">
        <v>3054</v>
      </c>
      <c r="C20" s="2965" t="s">
        <v>3133</v>
      </c>
      <c r="D20" s="2965">
        <v>51666</v>
      </c>
      <c r="E20" s="2965">
        <v>129165</v>
      </c>
      <c r="F20" s="2965" t="s">
        <v>3185</v>
      </c>
      <c r="G20" s="2965" t="s">
        <v>3135</v>
      </c>
      <c r="H20" s="2965" t="s">
        <v>3182</v>
      </c>
      <c r="I20" s="2965" t="s">
        <v>3186</v>
      </c>
      <c r="J20" s="2965">
        <v>64600</v>
      </c>
      <c r="K20" s="2965">
        <v>81000</v>
      </c>
      <c r="L20" s="2965">
        <v>6271.05</v>
      </c>
      <c r="M20" s="2965">
        <v>25.39</v>
      </c>
    </row>
    <row r="21" spans="1:13">
      <c r="A21" s="2965" t="s">
        <v>3187</v>
      </c>
      <c r="B21" s="2965" t="s">
        <v>3054</v>
      </c>
      <c r="C21" s="2965" t="s">
        <v>3133</v>
      </c>
      <c r="D21" s="2965">
        <v>85515.199999999997</v>
      </c>
      <c r="E21" s="2965">
        <v>283835.3</v>
      </c>
      <c r="F21" s="2965" t="s">
        <v>3188</v>
      </c>
      <c r="G21" s="2965" t="s">
        <v>3135</v>
      </c>
      <c r="H21" s="2965" t="s">
        <v>3182</v>
      </c>
      <c r="I21" s="2965" t="s">
        <v>3189</v>
      </c>
      <c r="J21" s="2965">
        <v>142000</v>
      </c>
      <c r="K21" s="2965">
        <v>145000</v>
      </c>
      <c r="L21" s="2965">
        <v>5108.6000000000004</v>
      </c>
      <c r="M21" s="2965">
        <v>2.11</v>
      </c>
    </row>
    <row r="22" spans="1:13">
      <c r="A22" s="2965" t="s">
        <v>3190</v>
      </c>
      <c r="B22" s="2965" t="s">
        <v>3054</v>
      </c>
      <c r="C22" s="2965" t="s">
        <v>3133</v>
      </c>
      <c r="D22" s="2965">
        <v>33628.9</v>
      </c>
      <c r="E22" s="2965">
        <v>82719</v>
      </c>
      <c r="F22" s="2965">
        <v>2.5</v>
      </c>
      <c r="G22" s="2965" t="s">
        <v>3135</v>
      </c>
      <c r="H22" s="2965" t="s">
        <v>3191</v>
      </c>
      <c r="I22" s="2965" t="s">
        <v>3192</v>
      </c>
      <c r="J22" s="2965">
        <v>66200</v>
      </c>
      <c r="K22" s="2965">
        <v>171000</v>
      </c>
      <c r="L22" s="2965">
        <v>20672.400000000001</v>
      </c>
      <c r="M22" s="2965">
        <v>158.31</v>
      </c>
    </row>
    <row r="23" spans="1:13">
      <c r="A23" s="2965" t="s">
        <v>3193</v>
      </c>
      <c r="B23" s="2965" t="s">
        <v>3054</v>
      </c>
      <c r="C23" s="2965" t="s">
        <v>3133</v>
      </c>
      <c r="D23" s="2965">
        <v>47871.43</v>
      </c>
      <c r="E23" s="2965">
        <v>176549</v>
      </c>
      <c r="F23" s="2965">
        <v>3.69</v>
      </c>
      <c r="G23" s="2965" t="s">
        <v>3135</v>
      </c>
      <c r="H23" s="2965" t="s">
        <v>3191</v>
      </c>
      <c r="I23" s="2965" t="s">
        <v>3192</v>
      </c>
      <c r="J23" s="2965">
        <v>141000</v>
      </c>
      <c r="K23" s="2965">
        <v>346000</v>
      </c>
      <c r="L23" s="2965">
        <v>19597.95</v>
      </c>
      <c r="M23" s="2965">
        <v>145.38999999999999</v>
      </c>
    </row>
    <row r="24" spans="1:13">
      <c r="A24" s="2965" t="s">
        <v>3194</v>
      </c>
      <c r="B24" s="2965" t="s">
        <v>3054</v>
      </c>
      <c r="C24" s="2965" t="s">
        <v>3133</v>
      </c>
      <c r="D24" s="2965">
        <v>50532</v>
      </c>
      <c r="E24" s="2965">
        <v>90958</v>
      </c>
      <c r="F24" s="2965">
        <v>1.8</v>
      </c>
      <c r="G24" s="2965" t="s">
        <v>3135</v>
      </c>
      <c r="H24" s="2965" t="s">
        <v>3195</v>
      </c>
      <c r="I24" s="2965" t="s">
        <v>3196</v>
      </c>
      <c r="J24" s="2965">
        <v>45500</v>
      </c>
      <c r="K24" s="2965">
        <v>46000</v>
      </c>
      <c r="L24" s="2965">
        <v>5057.2700000000004</v>
      </c>
      <c r="M24" s="2965">
        <v>1.1000000000000001</v>
      </c>
    </row>
    <row r="25" spans="1:13">
      <c r="A25" s="2965" t="s">
        <v>3197</v>
      </c>
      <c r="B25" s="2965" t="s">
        <v>3054</v>
      </c>
      <c r="C25" s="2965" t="s">
        <v>3133</v>
      </c>
      <c r="D25" s="2965">
        <v>92124</v>
      </c>
      <c r="E25" s="2965">
        <v>184248</v>
      </c>
      <c r="F25" s="2965">
        <v>2</v>
      </c>
      <c r="G25" s="2965" t="s">
        <v>3135</v>
      </c>
      <c r="H25" s="2965" t="s">
        <v>3198</v>
      </c>
      <c r="I25" s="2965" t="s">
        <v>3196</v>
      </c>
      <c r="J25" s="2965">
        <v>55300</v>
      </c>
      <c r="K25" s="2965">
        <v>111500</v>
      </c>
      <c r="L25" s="2965">
        <v>6051.63</v>
      </c>
      <c r="M25" s="2965">
        <v>101.63</v>
      </c>
    </row>
    <row r="26" spans="1:13">
      <c r="A26" s="2965" t="s">
        <v>3199</v>
      </c>
      <c r="B26" s="2965" t="s">
        <v>3054</v>
      </c>
      <c r="C26" s="2965" t="s">
        <v>3133</v>
      </c>
      <c r="D26" s="2965">
        <v>64322.98</v>
      </c>
      <c r="E26" s="2965">
        <v>126996</v>
      </c>
      <c r="F26" s="2965">
        <v>1.97</v>
      </c>
      <c r="G26" s="2965" t="s">
        <v>3135</v>
      </c>
      <c r="H26" s="2965" t="s">
        <v>3198</v>
      </c>
      <c r="I26" s="2965" t="s">
        <v>3200</v>
      </c>
      <c r="J26" s="2965">
        <v>0</v>
      </c>
      <c r="K26" s="2965">
        <v>112500</v>
      </c>
      <c r="L26" s="2965">
        <v>8858.5400000000009</v>
      </c>
      <c r="M26" s="2965">
        <v>0</v>
      </c>
    </row>
    <row r="27" spans="1:13">
      <c r="A27" s="2965" t="s">
        <v>3201</v>
      </c>
      <c r="B27" s="2965" t="s">
        <v>3054</v>
      </c>
      <c r="C27" s="2965" t="s">
        <v>3133</v>
      </c>
      <c r="D27" s="2965">
        <v>34970</v>
      </c>
      <c r="E27" s="2965">
        <v>87425</v>
      </c>
      <c r="F27" s="2965">
        <v>2.5</v>
      </c>
      <c r="G27" s="2965" t="s">
        <v>3135</v>
      </c>
      <c r="H27" s="2965" t="s">
        <v>3202</v>
      </c>
      <c r="I27" s="2965" t="s">
        <v>3203</v>
      </c>
      <c r="J27" s="2965">
        <v>20500</v>
      </c>
      <c r="K27" s="2965">
        <v>69500</v>
      </c>
      <c r="L27" s="2965">
        <v>7949.67</v>
      </c>
      <c r="M27" s="2965">
        <v>239.02</v>
      </c>
    </row>
    <row r="28" spans="1:13">
      <c r="A28" s="2965" t="s">
        <v>3204</v>
      </c>
      <c r="B28" s="2965" t="s">
        <v>3054</v>
      </c>
      <c r="C28" s="2965" t="s">
        <v>3133</v>
      </c>
      <c r="D28" s="2965">
        <v>73208.92</v>
      </c>
      <c r="E28" s="2965">
        <v>73209</v>
      </c>
      <c r="F28" s="2965">
        <v>1</v>
      </c>
      <c r="G28" s="2965" t="s">
        <v>3135</v>
      </c>
      <c r="H28" s="2965" t="s">
        <v>3202</v>
      </c>
      <c r="I28" s="2965" t="s">
        <v>3205</v>
      </c>
      <c r="J28" s="2965">
        <v>39300</v>
      </c>
      <c r="K28" s="2965">
        <v>91000</v>
      </c>
      <c r="L28" s="2965">
        <v>12430.17</v>
      </c>
      <c r="M28" s="2965">
        <v>131.55000000000001</v>
      </c>
    </row>
    <row r="29" spans="1:13">
      <c r="A29" s="2965" t="s">
        <v>3206</v>
      </c>
      <c r="B29" s="2965" t="s">
        <v>3054</v>
      </c>
      <c r="C29" s="2965" t="s">
        <v>3133</v>
      </c>
      <c r="D29" s="2965">
        <v>97991.86</v>
      </c>
      <c r="E29" s="2965">
        <v>97992</v>
      </c>
      <c r="F29" s="2965">
        <v>1</v>
      </c>
      <c r="G29" s="2965" t="s">
        <v>3207</v>
      </c>
      <c r="H29" s="2965" t="s">
        <v>3208</v>
      </c>
      <c r="I29" s="2965" t="s">
        <v>3209</v>
      </c>
      <c r="J29" s="2965">
        <v>0</v>
      </c>
      <c r="K29" s="2965">
        <v>28380</v>
      </c>
      <c r="L29" s="2965">
        <v>2896.15</v>
      </c>
      <c r="M29" s="2965">
        <v>0</v>
      </c>
    </row>
    <row r="30" spans="1:13">
      <c r="A30" s="2965" t="s">
        <v>3210</v>
      </c>
      <c r="B30" s="2965" t="s">
        <v>3054</v>
      </c>
      <c r="C30" s="2965" t="s">
        <v>3133</v>
      </c>
      <c r="D30" s="2965">
        <v>61102.5</v>
      </c>
      <c r="E30" s="2965">
        <v>213858.8</v>
      </c>
      <c r="F30" s="2965">
        <v>3.5</v>
      </c>
      <c r="G30" s="2965" t="s">
        <v>3135</v>
      </c>
      <c r="H30" s="2965" t="s">
        <v>3211</v>
      </c>
      <c r="I30" s="2965" t="s">
        <v>3212</v>
      </c>
      <c r="J30" s="2965">
        <v>34500</v>
      </c>
      <c r="K30" s="2965">
        <v>34500</v>
      </c>
      <c r="L30" s="2965">
        <v>1613.21</v>
      </c>
      <c r="M30" s="2965">
        <v>0</v>
      </c>
    </row>
    <row r="31" spans="1:13">
      <c r="A31" s="2965" t="s">
        <v>3213</v>
      </c>
      <c r="B31" s="2965" t="s">
        <v>3054</v>
      </c>
      <c r="C31" s="2965" t="s">
        <v>3133</v>
      </c>
      <c r="D31" s="2965">
        <v>11827.6</v>
      </c>
      <c r="E31" s="2965">
        <v>29569</v>
      </c>
      <c r="F31" s="2965">
        <v>2.5</v>
      </c>
      <c r="G31" s="2965" t="s">
        <v>3135</v>
      </c>
      <c r="H31" s="2965" t="s">
        <v>3214</v>
      </c>
      <c r="I31" s="2965" t="s">
        <v>3215</v>
      </c>
      <c r="J31" s="2965">
        <v>4400</v>
      </c>
      <c r="K31" s="2965">
        <v>4400</v>
      </c>
      <c r="L31" s="2965">
        <v>1488.03</v>
      </c>
      <c r="M31" s="2965">
        <v>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1637</v>
      </c>
      <c r="B2" s="2995" t="s">
        <v>1638</v>
      </c>
      <c r="C2" s="2995" t="s">
        <v>1639</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1" t="s">
        <v>1634</v>
      </c>
      <c r="E3" s="1041" t="s">
        <v>1640</v>
      </c>
      <c r="F3" s="1041" t="s">
        <v>1634</v>
      </c>
      <c r="G3" s="1041" t="s">
        <v>1635</v>
      </c>
      <c r="H3" s="1041" t="s">
        <v>1634</v>
      </c>
      <c r="I3" s="1041" t="s">
        <v>1635</v>
      </c>
    </row>
    <row r="4" spans="1:9" ht="45">
      <c r="A4" s="1970" t="str">
        <f>项目基本情况!S2</f>
        <v>北京市北京经济技术开发区荣华中路19号院2号楼-2至10层101房地产</v>
      </c>
      <c r="B4" s="1041">
        <f>项目基本情况!C17</f>
        <v>48967.92</v>
      </c>
      <c r="C4" s="1041">
        <f>项目基本情况!C18</f>
        <v>8969.4599999999991</v>
      </c>
      <c r="D4" s="1041">
        <f ca="1">结果表!D118</f>
        <v>67213</v>
      </c>
      <c r="E4" s="1041">
        <f ca="1">结果表!E118</f>
        <v>13726</v>
      </c>
      <c r="F4" s="1041">
        <f ca="1">结果表!F118</f>
        <v>58890</v>
      </c>
      <c r="G4" s="1041">
        <f ca="1">结果表!G118</f>
        <v>12026</v>
      </c>
      <c r="H4" s="1041">
        <f ca="1">结果表!H118</f>
        <v>126103</v>
      </c>
      <c r="I4" s="1041">
        <f ca="1">结果表!I118</f>
        <v>25752</v>
      </c>
    </row>
    <row r="5" spans="1:9" ht="30" customHeight="1">
      <c r="A5" s="2989" t="s">
        <v>1636</v>
      </c>
      <c r="B5" s="2989"/>
      <c r="C5" s="2989"/>
      <c r="D5" s="2990" t="str">
        <f ca="1">结果表!D119</f>
        <v>陆亿柒仟贰佰壹拾叁万元整</v>
      </c>
      <c r="E5" s="2990"/>
      <c r="F5" s="2990" t="str">
        <f ca="1">结果表!F119</f>
        <v>伍亿捌仟捌佰玖拾万元整</v>
      </c>
      <c r="G5" s="2990"/>
      <c r="H5" s="2990" t="str">
        <f ca="1">结果表!H119</f>
        <v>壹拾贰亿陆仟壹佰零叁万元整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1636</v>
      </c>
      <c r="B7" s="2989"/>
      <c r="C7" s="2989"/>
      <c r="D7" s="2991" t="str">
        <f>结果表!D121</f>
        <v>零元整</v>
      </c>
      <c r="E7" s="2992"/>
      <c r="F7" s="2992"/>
      <c r="G7" s="2992"/>
      <c r="H7" s="2992"/>
      <c r="I7" s="2993"/>
    </row>
    <row r="8" spans="1:9" ht="15.75">
      <c r="A8" s="2988" t="str">
        <f>结果表!A122</f>
        <v>房地产抵押价值</v>
      </c>
      <c r="B8" s="2988"/>
      <c r="C8" s="2988"/>
      <c r="D8" s="2988">
        <f ca="1">结果表!D122</f>
        <v>126103</v>
      </c>
      <c r="E8" s="2988"/>
      <c r="F8" s="2988"/>
      <c r="G8" s="2988"/>
      <c r="H8" s="2988"/>
      <c r="I8" s="2988"/>
    </row>
    <row r="9" spans="1:9" ht="15">
      <c r="A9" s="2989" t="s">
        <v>1636</v>
      </c>
      <c r="B9" s="2989"/>
      <c r="C9" s="2989"/>
      <c r="D9" s="2990" t="str">
        <f ca="1">结果表!D123</f>
        <v>壹拾贰亿陆仟壹佰零叁万元整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1636</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2" t="s">
        <v>1658</v>
      </c>
      <c r="B1" s="3002"/>
      <c r="C1" s="3002"/>
      <c r="D1" s="3002"/>
    </row>
    <row r="2" spans="1:4" ht="18">
      <c r="A2" s="3003" t="s">
        <v>1642</v>
      </c>
      <c r="B2" s="3003"/>
      <c r="C2" s="3003"/>
      <c r="D2" s="3003"/>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3003" t="s">
        <v>1648</v>
      </c>
      <c r="B6" s="3003"/>
      <c r="C6" s="3003"/>
      <c r="D6" s="3003"/>
    </row>
    <row r="7" spans="1:4" ht="18.75">
      <c r="A7" s="1974" t="s">
        <v>1643</v>
      </c>
      <c r="B7" s="1976" t="s">
        <v>1649</v>
      </c>
      <c r="C7" s="1974" t="s">
        <v>1645</v>
      </c>
      <c r="D7" s="1974" t="s">
        <v>1646</v>
      </c>
    </row>
    <row r="8" spans="1:4" ht="56.25" customHeight="1">
      <c r="A8" s="1980" t="s">
        <v>866</v>
      </c>
      <c r="B8" s="1980" t="s">
        <v>1</v>
      </c>
      <c r="C8" s="1977"/>
      <c r="D8" s="1978" t="s">
        <v>1647</v>
      </c>
    </row>
    <row r="9" spans="1:4">
      <c r="A9" s="726"/>
      <c r="B9" s="726"/>
      <c r="C9" s="726"/>
      <c r="D9" s="726"/>
    </row>
    <row r="10" spans="1:4" ht="18.75">
      <c r="A10" s="1981" t="s">
        <v>1650</v>
      </c>
      <c r="B10" s="726"/>
      <c r="C10" s="726"/>
      <c r="D10" s="726"/>
    </row>
    <row r="11" spans="1:4" ht="30" customHeight="1">
      <c r="A11" s="3004"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（1）根据估价对象《房屋所有权证》原件、《国有土地使用权》——，截至价值时点，估价对象抵押权未见登记。</v>
      </c>
      <c r="B15" s="2996"/>
      <c r="C15" s="2996"/>
      <c r="D15" s="2996"/>
    </row>
    <row r="16" spans="1:4" ht="30" customHeight="1">
      <c r="A16" s="2998" t="s">
        <v>1652</v>
      </c>
      <c r="B16" s="2998"/>
      <c r="C16" s="2998"/>
      <c r="D16" s="2998"/>
    </row>
    <row r="17" spans="1:4" ht="144" customHeight="1">
      <c r="A17" s="2998" t="s">
        <v>1653</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10" t="s">
        <v>1665</v>
      </c>
      <c r="B15" s="3005" t="s">
        <v>136</v>
      </c>
      <c r="C15" s="3006"/>
    </row>
    <row r="16" spans="1:7" ht="13.5">
      <c r="A16" s="3011"/>
      <c r="B16" s="3005" t="s">
        <v>69</v>
      </c>
      <c r="C16" s="3006"/>
    </row>
    <row r="17" spans="1:3" ht="13.5">
      <c r="A17" s="3011"/>
      <c r="B17" s="3008" t="s">
        <v>1666</v>
      </c>
      <c r="C17" s="1997" t="s">
        <v>1665</v>
      </c>
    </row>
    <row r="18" spans="1:3" ht="13.5">
      <c r="A18" s="3011"/>
      <c r="B18" s="3008"/>
      <c r="C18" s="1997" t="s">
        <v>1667</v>
      </c>
    </row>
    <row r="19" spans="1:3" ht="13.5">
      <c r="A19" s="3011"/>
      <c r="B19" s="3008"/>
      <c r="C19" s="1997" t="s">
        <v>1668</v>
      </c>
    </row>
    <row r="20" spans="1:3" ht="13.5">
      <c r="A20" s="3012"/>
      <c r="B20" s="3007" t="s">
        <v>1669</v>
      </c>
      <c r="C20" s="3006"/>
    </row>
    <row r="21" spans="1:3" ht="13.5">
      <c r="A21" s="1998" t="s">
        <v>1670</v>
      </c>
      <c r="B21" s="1999"/>
      <c r="C21" s="2000"/>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1997" t="s">
        <v>1676</v>
      </c>
    </row>
    <row r="26" spans="1:3" ht="13.5">
      <c r="A26" s="3009"/>
      <c r="B26" s="3008"/>
      <c r="C26" s="1997" t="s">
        <v>1677</v>
      </c>
    </row>
    <row r="27" spans="1:3" ht="13.5">
      <c r="A27" s="3009"/>
      <c r="B27" s="3008"/>
      <c r="C27" s="1997" t="s">
        <v>1678</v>
      </c>
    </row>
    <row r="28" spans="1:3" ht="13.5">
      <c r="A28" s="3009"/>
      <c r="B28" s="3008"/>
      <c r="C28" s="1997" t="s">
        <v>1679</v>
      </c>
    </row>
    <row r="29" spans="1:3" ht="13.5">
      <c r="A29" s="3009"/>
      <c r="B29" s="3008"/>
      <c r="C29" s="1997" t="s">
        <v>1680</v>
      </c>
    </row>
    <row r="30" spans="1:3" ht="13.5">
      <c r="A30" s="3009"/>
      <c r="B30" s="3008"/>
      <c r="C30" s="1997" t="s">
        <v>1681</v>
      </c>
    </row>
    <row r="31" spans="1:3" ht="13.5">
      <c r="A31" s="3009"/>
      <c r="B31" s="3008"/>
      <c r="C31" s="1997" t="s">
        <v>1682</v>
      </c>
    </row>
    <row r="32" spans="1:3" ht="13.5">
      <c r="A32" s="3009"/>
      <c r="B32" s="3008"/>
      <c r="C32" s="1997" t="s">
        <v>1683</v>
      </c>
    </row>
    <row r="33" spans="1:3" ht="13.5">
      <c r="A33" s="3009"/>
      <c r="B33" s="3008"/>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43633</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t="str">
        <f ca="1">IF(C11&lt;B2,"已过期",1120100036)</f>
        <v>已过期</v>
      </c>
      <c r="C11" s="2342">
        <v>43622</v>
      </c>
      <c r="D11" s="2345" t="s">
        <v>839</v>
      </c>
      <c r="E11" s="1019">
        <f ca="1">IF(F11&lt;B2,"已过期",2010110070)</f>
        <v>2010110070</v>
      </c>
      <c r="F11" s="1027">
        <v>47907</v>
      </c>
    </row>
    <row r="12" spans="1:6" ht="24" customHeight="1">
      <c r="A12" s="1699"/>
      <c r="B12" s="1019"/>
      <c r="C12" s="2924"/>
      <c r="D12" s="1699"/>
      <c r="E12" s="1019"/>
      <c r="F12" s="1027"/>
    </row>
    <row r="13" spans="1:6" ht="24" customHeight="1">
      <c r="A13" s="1699" t="s">
        <v>840</v>
      </c>
      <c r="B13" s="1019">
        <f ca="1">IF(C13&lt;B2,"已过期",1120070131)</f>
        <v>1120070131</v>
      </c>
      <c r="C13" s="2342">
        <v>43814</v>
      </c>
      <c r="D13" s="2345" t="s">
        <v>840</v>
      </c>
      <c r="E13" s="1019">
        <f ca="1">IF(F13&lt;B2,"已过期",2014110011)</f>
        <v>2014110011</v>
      </c>
      <c r="F13" s="1027">
        <v>49302</v>
      </c>
    </row>
    <row r="14" spans="1:6" ht="24" customHeight="1">
      <c r="A14" s="1699" t="s">
        <v>3041</v>
      </c>
      <c r="B14" s="1019">
        <f ca="1">IF(C14&lt;B2,"已过期",1120040230)</f>
        <v>1120040230</v>
      </c>
      <c r="C14" s="2342">
        <v>43835</v>
      </c>
      <c r="D14" s="2345" t="s">
        <v>3041</v>
      </c>
      <c r="E14" s="1019">
        <f ca="1">IF(F14&lt;B2,"已过期",98030020)</f>
        <v>98030020</v>
      </c>
      <c r="F14" s="1027">
        <v>47118</v>
      </c>
    </row>
    <row r="15" spans="1:6" ht="24" customHeight="1">
      <c r="A15" s="1700" t="s">
        <v>3042</v>
      </c>
      <c r="B15" s="1019">
        <f ca="1">IF(C15&lt;B2,"已过期",1120070085)</f>
        <v>1120070085</v>
      </c>
      <c r="C15" s="2342">
        <v>43814</v>
      </c>
      <c r="D15" s="2346" t="s">
        <v>3042</v>
      </c>
      <c r="E15" s="1019">
        <f ca="1">IF(F15&lt;B2,"已过期",2004110128)</f>
        <v>2004110128</v>
      </c>
      <c r="F15" s="1020">
        <v>47118</v>
      </c>
    </row>
    <row r="16" spans="1:6" ht="24" customHeight="1">
      <c r="A16" s="1699" t="s">
        <v>3043</v>
      </c>
      <c r="B16" s="1019">
        <f ca="1">IF(C16&lt;B2,"已过期",1120140022)</f>
        <v>1120140022</v>
      </c>
      <c r="C16" s="2924">
        <v>44029</v>
      </c>
      <c r="D16" s="2345" t="s">
        <v>3043</v>
      </c>
      <c r="E16" s="1019">
        <f ca="1">IF(F16&lt;B2,"已过期",2008110059)</f>
        <v>2008110059</v>
      </c>
      <c r="F16" s="1027">
        <v>47177</v>
      </c>
    </row>
    <row r="17" spans="1:7" ht="24" customHeight="1">
      <c r="A17" s="1699"/>
      <c r="B17" s="1019"/>
      <c r="C17" s="2342"/>
      <c r="D17" s="2345" t="s">
        <v>3044</v>
      </c>
      <c r="E17" s="1019">
        <f ca="1">IF(F17&lt;B2,"已过期",2014110076)</f>
        <v>2014110076</v>
      </c>
      <c r="F17" s="1027">
        <v>49302</v>
      </c>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841</v>
      </c>
      <c r="E21" s="1019">
        <f ca="1">IF(F21&lt;B2,"已过期",2011110090)</f>
        <v>2011110090</v>
      </c>
      <c r="F21" s="1027">
        <v>48302</v>
      </c>
    </row>
    <row r="22" spans="1:7" ht="24" customHeight="1">
      <c r="A22" s="1699" t="s">
        <v>842</v>
      </c>
      <c r="B22" s="1019">
        <f ca="1">IF(C22&lt;B2,"已过期",1120020033)</f>
        <v>1120020033</v>
      </c>
      <c r="C22" s="2924">
        <v>44339</v>
      </c>
      <c r="D22" s="2345" t="s">
        <v>842</v>
      </c>
      <c r="E22" s="1019">
        <f ca="1">IF(F22&lt;B2,"已过期",2000110137)</f>
        <v>2000110137</v>
      </c>
      <c r="F22" s="1027">
        <v>46387</v>
      </c>
    </row>
    <row r="23" spans="1:7" ht="24" customHeight="1">
      <c r="A23" s="1699"/>
      <c r="B23" s="1019"/>
      <c r="C23" s="2342"/>
      <c r="D23" s="2345"/>
      <c r="E23" s="1019"/>
      <c r="F23" s="1019"/>
    </row>
    <row r="24" spans="1:7" s="1021" customFormat="1" ht="24" customHeight="1">
      <c r="A24" s="1700" t="s">
        <v>1329</v>
      </c>
      <c r="B24" s="1700" t="s">
        <v>1329</v>
      </c>
      <c r="C24" s="2343" t="s">
        <v>1329</v>
      </c>
      <c r="D24" s="2346" t="s">
        <v>1329</v>
      </c>
      <c r="E24" s="1700" t="s">
        <v>1329</v>
      </c>
      <c r="F24" s="1700" t="s">
        <v>1329</v>
      </c>
    </row>
    <row r="25" spans="1:7" ht="24" customHeight="1">
      <c r="A25" s="3013" t="s">
        <v>843</v>
      </c>
      <c r="B25" s="3013"/>
      <c r="C25" s="3013"/>
      <c r="D25" s="3013"/>
      <c r="E25" s="3013"/>
      <c r="F25" s="3013"/>
      <c r="G25" s="3013"/>
    </row>
    <row r="26" spans="1:7" s="1022" customFormat="1" ht="24" customHeight="1">
      <c r="A26" s="3014" t="s">
        <v>844</v>
      </c>
      <c r="B26" s="3014"/>
      <c r="C26" s="3015"/>
      <c r="D26" s="3016" t="s">
        <v>845</v>
      </c>
      <c r="E26" s="3014"/>
      <c r="F26" s="3014"/>
    </row>
    <row r="27" spans="1:7" s="1024" customFormat="1" ht="24" customHeight="1">
      <c r="A27" s="1023" t="s">
        <v>846</v>
      </c>
      <c r="B27" s="1018" t="s">
        <v>847</v>
      </c>
      <c r="C27" s="2341" t="s">
        <v>848</v>
      </c>
      <c r="D27" s="2349" t="s">
        <v>846</v>
      </c>
      <c r="E27" s="1018" t="s">
        <v>847</v>
      </c>
      <c r="F27" s="1018" t="s">
        <v>848</v>
      </c>
    </row>
    <row r="28" spans="1:7" s="1024" customFormat="1" ht="24" customHeight="1">
      <c r="A28" s="1025" t="s">
        <v>849</v>
      </c>
      <c r="B28" s="1026" t="s">
        <v>850</v>
      </c>
      <c r="C28" s="2347">
        <v>43725</v>
      </c>
      <c r="D28" s="2350" t="s">
        <v>851</v>
      </c>
      <c r="E28" s="1025" t="s">
        <v>852</v>
      </c>
      <c r="F28" s="1055">
        <v>44377</v>
      </c>
    </row>
    <row r="29" spans="1:7" s="1024" customFormat="1" ht="24" customHeight="1">
      <c r="A29" s="1025"/>
      <c r="B29" s="1025"/>
      <c r="C29" s="2348"/>
      <c r="D29" s="235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2019-06-17T06:58:07Z</dcterms:modified>
</cp:coreProperties>
</file>