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511-P01海淀区王庄路-吴姐重估\P01\最终\"/>
    </mc:Choice>
  </mc:AlternateContent>
  <xr:revisionPtr revIDLastSave="0" documentId="13_ncr:1_{2A35076B-37BF-4D69-8911-EBD45FDA3EAA}" xr6:coauthVersionLast="47" xr6:coauthVersionMax="47" xr10:uidLastSave="{00000000-0000-0000-0000-000000000000}"/>
  <bookViews>
    <workbookView xWindow="-108" yWindow="-108" windowWidth="20376" windowHeight="12216" tabRatio="899" firstSheet="7"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售价案例" sheetId="80" r:id="rId15"/>
    <sheet name="租金案例" sheetId="81" r:id="rId16"/>
    <sheet name="数据-汇总表" sheetId="6" r:id="rId17"/>
    <sheet name="数据-取费表" sheetId="1" r:id="rId18"/>
    <sheet name="估价对象房地状况" sheetId="20" r:id="rId19"/>
    <sheet name="结果表" sheetId="9" r:id="rId20"/>
    <sheet name="成本法" sheetId="68" r:id="rId21"/>
    <sheet name="成本法 (元)" sheetId="69" r:id="rId22"/>
    <sheet name="假设开发法" sheetId="12" r:id="rId23"/>
    <sheet name="收益法" sheetId="15" r:id="rId24"/>
    <sheet name="收益法 (元)" sheetId="67" r:id="rId25"/>
    <sheet name="收益法-酒店模型" sheetId="77" r:id="rId26"/>
    <sheet name="收益法（汇总）" sheetId="70"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6">'数据-汇总表'!$A$1:$P$32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8" i="74" l="1"/>
  <c r="G7" i="74"/>
  <c r="H5" i="74" l="1"/>
  <c r="D14" i="74" s="1"/>
  <c r="E14" i="74"/>
  <c r="G5" i="74"/>
  <c r="G14" i="74" l="1"/>
  <c r="B14" i="74"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T33" i="79"/>
  <c r="T34" i="79"/>
  <c r="T35"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3" i="79"/>
  <c r="AK33" i="79" s="1"/>
  <c r="AH33" i="79"/>
  <c r="W40" i="79"/>
  <c r="AK40" i="79" s="1"/>
  <c r="AH40" i="79"/>
  <c r="W15" i="79"/>
  <c r="AK15" i="79" s="1"/>
  <c r="AH15" i="79"/>
  <c r="W48" i="79"/>
  <c r="AK48" i="79" s="1"/>
  <c r="AH48" i="79"/>
  <c r="W43" i="79"/>
  <c r="AK43" i="79" s="1"/>
  <c r="AH43" i="79"/>
  <c r="W38" i="79"/>
  <c r="AK38" i="79" s="1"/>
  <c r="AH38" i="79"/>
  <c r="W34" i="79"/>
  <c r="AK34" i="79" s="1"/>
  <c r="AH34" i="79"/>
  <c r="W11" i="79"/>
  <c r="AK11" i="79" s="1"/>
  <c r="AH11" i="79"/>
  <c r="W17" i="79"/>
  <c r="AK17" i="79" s="1"/>
  <c r="AH17" i="79"/>
  <c r="W10" i="79"/>
  <c r="AK10" i="79" s="1"/>
  <c r="AH10" i="79"/>
  <c r="W18" i="79"/>
  <c r="AK18" i="79" s="1"/>
  <c r="AH18" i="79"/>
  <c r="W20" i="79"/>
  <c r="AK20" i="79" s="1"/>
  <c r="AH20" i="79"/>
  <c r="W49" i="79"/>
  <c r="AK49" i="79" s="1"/>
  <c r="AH49"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D58" i="71"/>
  <c r="D62" i="71"/>
  <c r="B66" i="71"/>
  <c r="N65" i="71" s="1"/>
  <c r="T68" i="71"/>
  <c r="D68" i="71"/>
  <c r="Q68" i="71"/>
  <c r="E71" i="71"/>
  <c r="E70" i="71" s="1"/>
  <c r="D72" i="71"/>
  <c r="D76" i="71"/>
  <c r="E79" i="71"/>
  <c r="E78" i="71" s="1"/>
  <c r="D80" i="71"/>
  <c r="C87" i="71"/>
  <c r="C86" i="71" s="1"/>
  <c r="D86" i="71" s="1"/>
  <c r="F28" i="71"/>
  <c r="F27" i="71" s="1"/>
  <c r="F26" i="71" s="1"/>
  <c r="AA3" i="71"/>
  <c r="N66"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S25" i="40"/>
  <c r="S21" i="34"/>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F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c r="AA26" i="33"/>
  <c r="U33" i="33"/>
  <c r="U35" i="33"/>
  <c r="W33"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AZ135" i="3" s="1"/>
  <c r="BL136" i="3"/>
  <c r="G137" i="3"/>
  <c r="BA139" i="3"/>
  <c r="AZ139" i="3" s="1"/>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500" i="3"/>
  <c r="BA16" i="3"/>
  <c r="BL303" i="3"/>
  <c r="G304" i="3"/>
  <c r="BA306" i="3"/>
  <c r="BL307" i="3"/>
  <c r="G308" i="3"/>
  <c r="BA310" i="3"/>
  <c r="AZ310" i="3"/>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BO5" i="3"/>
  <c r="BM5" i="3"/>
  <c r="BJ5" i="3"/>
  <c r="BH5" i="3"/>
  <c r="BF5" i="3"/>
  <c r="BD5" i="3"/>
  <c r="AC5" i="3"/>
  <c r="AZ506" i="3"/>
  <c r="G548" i="3"/>
  <c r="G538" i="3"/>
  <c r="G520" i="3"/>
  <c r="G502" i="3"/>
  <c r="BS5" i="3"/>
  <c r="BP5" i="3"/>
  <c r="BN5" i="3"/>
  <c r="BK5" i="3"/>
  <c r="BI5" i="3"/>
  <c r="BG5" i="3"/>
  <c r="BE5" i="3"/>
  <c r="BC5" i="3"/>
  <c r="G17" i="3"/>
  <c r="BA17" i="3"/>
  <c r="BT5" i="3"/>
  <c r="AZ350" i="3"/>
  <c r="AZ356" i="3"/>
  <c r="BA15" i="3"/>
  <c r="BB5" i="3"/>
  <c r="BR5" i="3"/>
  <c r="G509" i="3"/>
  <c r="BL493" i="3"/>
  <c r="AZ493" i="3" s="1"/>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H27" i="40"/>
  <c r="AB27" i="40" s="1"/>
  <c r="U27" i="40"/>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A32" i="36"/>
  <c r="S32" i="36"/>
  <c r="BL14" i="3"/>
  <c r="U30" i="33"/>
  <c r="AC13" i="34"/>
  <c r="AA47" i="34"/>
  <c r="W28" i="37"/>
  <c r="S19" i="39"/>
  <c r="F12" i="33"/>
  <c r="H12" i="39"/>
  <c r="U12" i="39" s="1"/>
  <c r="F39" i="40"/>
  <c r="BA14" i="3"/>
  <c r="AZ14" i="3" s="1"/>
  <c r="AZ254" i="3"/>
  <c r="AZ149" i="3"/>
  <c r="AZ173"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AC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9" i="67"/>
  <c r="L47" i="15"/>
  <c r="L47" i="67"/>
  <c r="M8" i="15"/>
  <c r="D35" i="9"/>
  <c r="M6" i="15"/>
  <c r="M29" i="15"/>
  <c r="M24" i="67"/>
  <c r="F26" i="67"/>
  <c r="B8" i="76"/>
  <c r="F38" i="67"/>
  <c r="F6" i="73"/>
  <c r="J15" i="15"/>
  <c r="B13" i="76"/>
  <c r="B11" i="76"/>
  <c r="D19" i="9"/>
  <c r="M24" i="15"/>
  <c r="F8" i="67"/>
  <c r="M28" i="15"/>
  <c r="B12" i="76"/>
  <c r="F43" i="67"/>
  <c r="C76" i="67"/>
  <c r="E9" i="76"/>
  <c r="F37" i="15"/>
  <c r="E10" i="76"/>
  <c r="F13" i="67"/>
  <c r="M23" i="67"/>
  <c r="F5" i="73"/>
  <c r="L48" i="67"/>
  <c r="F9" i="67"/>
  <c r="F40" i="15"/>
  <c r="F4" i="73"/>
  <c r="F16" i="15"/>
  <c r="D34" i="9"/>
  <c r="C19" i="9"/>
  <c r="F3" i="73"/>
  <c r="F7" i="73"/>
  <c r="B9" i="76"/>
  <c r="AO13" i="1"/>
  <c r="M22" i="67"/>
  <c r="F7" i="67"/>
  <c r="D20" i="9"/>
  <c r="F6" i="67"/>
  <c r="F13" i="15"/>
  <c r="F40" i="67"/>
  <c r="F38" i="15"/>
  <c r="B7" i="76"/>
  <c r="J15" i="67"/>
  <c r="M6" i="67"/>
  <c r="E2" i="68"/>
  <c r="C20" i="9"/>
  <c r="M29" i="67"/>
  <c r="M26" i="67"/>
  <c r="E8" i="76"/>
  <c r="M26" i="15"/>
  <c r="F20" i="31"/>
  <c r="E13" i="76"/>
  <c r="F36" i="15"/>
  <c r="E12" i="76"/>
  <c r="F43" i="15"/>
  <c r="M28" i="67"/>
  <c r="B10" i="76"/>
  <c r="E2" i="69"/>
  <c r="F26" i="15"/>
  <c r="F36" i="67"/>
  <c r="F9" i="15"/>
  <c r="E11" i="76"/>
  <c r="C76" i="15"/>
  <c r="F8" i="15"/>
  <c r="F37" i="67"/>
  <c r="F42" i="67"/>
  <c r="F16" i="67"/>
  <c r="L48" i="15"/>
  <c r="M8" i="67"/>
  <c r="F42" i="15"/>
  <c r="F7" i="15"/>
  <c r="F6" i="15"/>
  <c r="E7" i="76"/>
  <c r="G29" i="6" l="1"/>
  <c r="F29" i="6"/>
  <c r="A15" i="62"/>
  <c r="B61" i="72" s="1"/>
  <c r="C42" i="1"/>
  <c r="C24" i="12" s="1"/>
  <c r="C7" i="36"/>
  <c r="C46" i="36" s="1"/>
  <c r="D46" i="36" s="1"/>
  <c r="E46" i="36" s="1"/>
  <c r="F46" i="36" s="1"/>
  <c r="G46" i="36" s="1"/>
  <c r="H46" i="36" s="1"/>
  <c r="I46" i="36" s="1"/>
  <c r="J1" i="73"/>
  <c r="U19" i="33"/>
  <c r="AC27" i="33"/>
  <c r="AC23" i="37"/>
  <c r="S23" i="21"/>
  <c r="W15" i="21"/>
  <c r="S34" i="33"/>
  <c r="AA34" i="33"/>
  <c r="AB12" i="39"/>
  <c r="AA32" i="37"/>
  <c r="AA20" i="35"/>
  <c r="S20" i="35"/>
  <c r="AZ355" i="3"/>
  <c r="AZ327" i="3"/>
  <c r="AC31" i="40"/>
  <c r="W31" i="40"/>
  <c r="W17" i="21"/>
  <c r="AB36" i="33"/>
  <c r="S27" i="40"/>
  <c r="AZ349" i="3"/>
  <c r="AB26" i="37"/>
  <c r="U26" i="37"/>
  <c r="AZ334" i="3"/>
  <c r="AZ183" i="3"/>
  <c r="AZ523" i="3"/>
  <c r="AZ547" i="3"/>
  <c r="AZ571" i="3"/>
  <c r="AZ579" i="3"/>
  <c r="AB46" i="34"/>
  <c r="AB30" i="21"/>
  <c r="B79" i="43"/>
  <c r="J26" i="33"/>
  <c r="F12" i="35"/>
  <c r="J12" i="35"/>
  <c r="AB30" i="37"/>
  <c r="U30" i="37"/>
  <c r="H44" i="39"/>
  <c r="J44" i="39"/>
  <c r="AZ387" i="3"/>
  <c r="AZ362" i="3"/>
  <c r="AZ338" i="3"/>
  <c r="AZ390" i="3"/>
  <c r="AZ371" i="3"/>
  <c r="AZ351" i="3"/>
  <c r="AZ336" i="3"/>
  <c r="AZ305" i="3"/>
  <c r="AZ360" i="3"/>
  <c r="AB33" i="40"/>
  <c r="AC31" i="33"/>
  <c r="AZ539" i="3"/>
  <c r="AZ529" i="3"/>
  <c r="AZ537" i="3"/>
  <c r="AZ518" i="3"/>
  <c r="AZ526" i="3"/>
  <c r="AZ546" i="3"/>
  <c r="AZ564" i="3"/>
  <c r="AZ580" i="3"/>
  <c r="AB45" i="33"/>
  <c r="S11" i="36"/>
  <c r="S14" i="37"/>
  <c r="AA44" i="34"/>
  <c r="AA29" i="35"/>
  <c r="AB17" i="34"/>
  <c r="BL585" i="3"/>
  <c r="AZ585" i="3" s="1"/>
  <c r="AB31" i="36"/>
  <c r="U31" i="36"/>
  <c r="H25" i="37"/>
  <c r="F25" i="37"/>
  <c r="U8" i="39"/>
  <c r="AB8" i="39"/>
  <c r="AA31" i="35"/>
  <c r="S31" i="35"/>
  <c r="AZ419" i="3"/>
  <c r="AZ513" i="3"/>
  <c r="AZ502" i="3"/>
  <c r="J9" i="33"/>
  <c r="J9" i="34"/>
  <c r="AZ357" i="3"/>
  <c r="AZ313" i="3"/>
  <c r="AZ394" i="3"/>
  <c r="AZ531" i="3"/>
  <c r="AZ583" i="3"/>
  <c r="AZ568" i="3"/>
  <c r="AZ576" i="3"/>
  <c r="G585" i="3"/>
  <c r="BL587" i="3"/>
  <c r="AZ587" i="3" s="1"/>
  <c r="BL586" i="3"/>
  <c r="AZ586" i="3" s="1"/>
  <c r="B72" i="43"/>
  <c r="C15" i="39"/>
  <c r="H23" i="35"/>
  <c r="J39" i="37"/>
  <c r="F39" i="37"/>
  <c r="S39" i="37" s="1"/>
  <c r="AZ402" i="3"/>
  <c r="AZ406" i="3"/>
  <c r="AZ429" i="3"/>
  <c r="AZ443" i="3"/>
  <c r="AZ476" i="3"/>
  <c r="AZ483" i="3"/>
  <c r="AZ57" i="3"/>
  <c r="BL550"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AZ458" i="3"/>
  <c r="BL16" i="3"/>
  <c r="AZ16" i="3" s="1"/>
  <c r="BA401" i="3"/>
  <c r="AZ401" i="3" s="1"/>
  <c r="BA403" i="3"/>
  <c r="AZ403" i="3" s="1"/>
  <c r="BA404" i="3"/>
  <c r="AZ404" i="3" s="1"/>
  <c r="BA405" i="3"/>
  <c r="AZ405" i="3" s="1"/>
  <c r="BL410" i="3"/>
  <c r="BA422" i="3"/>
  <c r="AZ422" i="3" s="1"/>
  <c r="G430" i="3"/>
  <c r="BL431" i="3"/>
  <c r="AZ431" i="3" s="1"/>
  <c r="BL434" i="3"/>
  <c r="G437" i="3"/>
  <c r="BL438" i="3"/>
  <c r="BA444" i="3"/>
  <c r="AZ444" i="3" s="1"/>
  <c r="BA445" i="3"/>
  <c r="BA447" i="3"/>
  <c r="AZ447" i="3" s="1"/>
  <c r="BL451" i="3"/>
  <c r="AZ451" i="3" s="1"/>
  <c r="BA459" i="3"/>
  <c r="AZ459" i="3" s="1"/>
  <c r="BA460" i="3"/>
  <c r="AZ460" i="3" s="1"/>
  <c r="BA461" i="3"/>
  <c r="BA465" i="3"/>
  <c r="AZ465" i="3" s="1"/>
  <c r="BL466" i="3"/>
  <c r="AZ466" i="3" s="1"/>
  <c r="BL471" i="3"/>
  <c r="BL476" i="3"/>
  <c r="BL477" i="3"/>
  <c r="BL478" i="3"/>
  <c r="AZ478" i="3" s="1"/>
  <c r="BA480" i="3"/>
  <c r="AZ480" i="3" s="1"/>
  <c r="BA481" i="3"/>
  <c r="BA487" i="3"/>
  <c r="AZ487" i="3" s="1"/>
  <c r="BA489" i="3"/>
  <c r="AZ489" i="3" s="1"/>
  <c r="BA491" i="3"/>
  <c r="AZ491" i="3" s="1"/>
  <c r="BA319" i="3"/>
  <c r="AZ319" i="3" s="1"/>
  <c r="BA392" i="3"/>
  <c r="AZ392" i="3" s="1"/>
  <c r="BL219" i="3"/>
  <c r="BL230" i="3"/>
  <c r="G246" i="3"/>
  <c r="G256" i="3"/>
  <c r="AZ270" i="3"/>
  <c r="AA9" i="40"/>
  <c r="G587" i="3"/>
  <c r="BA551" i="3"/>
  <c r="AZ551" i="3" s="1"/>
  <c r="BA550" i="3"/>
  <c r="AZ550" i="3" s="1"/>
  <c r="BL548" i="3"/>
  <c r="AZ548" i="3" s="1"/>
  <c r="G398" i="3"/>
  <c r="G399" i="3"/>
  <c r="BL400" i="3"/>
  <c r="AZ400" i="3" s="1"/>
  <c r="BL408" i="3"/>
  <c r="AZ408" i="3" s="1"/>
  <c r="BL411" i="3"/>
  <c r="AZ411" i="3" s="1"/>
  <c r="BL413" i="3"/>
  <c r="AZ413" i="3" s="1"/>
  <c r="G415" i="3"/>
  <c r="G416" i="3"/>
  <c r="BL417" i="3"/>
  <c r="AZ417" i="3" s="1"/>
  <c r="BL418" i="3"/>
  <c r="BL420" i="3"/>
  <c r="AZ420" i="3" s="1"/>
  <c r="G422" i="3"/>
  <c r="G423" i="3"/>
  <c r="BL424" i="3"/>
  <c r="G426" i="3"/>
  <c r="G427" i="3"/>
  <c r="BL428" i="3"/>
  <c r="AZ428" i="3" s="1"/>
  <c r="BL429" i="3"/>
  <c r="BL432" i="3"/>
  <c r="AZ432" i="3" s="1"/>
  <c r="BL435" i="3"/>
  <c r="BL436" i="3"/>
  <c r="BA439" i="3"/>
  <c r="BA440" i="3"/>
  <c r="AZ440" i="3" s="1"/>
  <c r="BA442" i="3"/>
  <c r="BA446" i="3"/>
  <c r="BL448" i="3"/>
  <c r="AZ448" i="3" s="1"/>
  <c r="BL453" i="3"/>
  <c r="BL454" i="3"/>
  <c r="AZ454" i="3" s="1"/>
  <c r="BA457" i="3"/>
  <c r="BL462" i="3"/>
  <c r="AZ462" i="3" s="1"/>
  <c r="BA486" i="3"/>
  <c r="BL316" i="3"/>
  <c r="BL340" i="3"/>
  <c r="AZ340" i="3" s="1"/>
  <c r="BA214" i="3"/>
  <c r="AZ214" i="3" s="1"/>
  <c r="BA225" i="3"/>
  <c r="G241" i="3"/>
  <c r="BA134" i="3"/>
  <c r="B100" i="43"/>
  <c r="B57" i="43"/>
  <c r="B68" i="43"/>
  <c r="B77" i="43"/>
  <c r="C29" i="39"/>
  <c r="C44" i="71"/>
  <c r="D43" i="71"/>
  <c r="C64" i="71"/>
  <c r="D64" i="71" s="1"/>
  <c r="D63" i="71"/>
  <c r="BA450" i="3"/>
  <c r="BA453" i="3"/>
  <c r="BA455" i="3"/>
  <c r="AZ455" i="3" s="1"/>
  <c r="BL457" i="3"/>
  <c r="BL460" i="3"/>
  <c r="BL461" i="3"/>
  <c r="BL463" i="3"/>
  <c r="G465" i="3"/>
  <c r="BA471" i="3"/>
  <c r="G486" i="3"/>
  <c r="G488" i="3"/>
  <c r="BL317" i="3"/>
  <c r="G318" i="3"/>
  <c r="BA349" i="3"/>
  <c r="BA353" i="3"/>
  <c r="AZ353" i="3" s="1"/>
  <c r="BL353" i="3"/>
  <c r="BA358" i="3"/>
  <c r="AZ358" i="3" s="1"/>
  <c r="G362" i="3"/>
  <c r="BL365" i="3"/>
  <c r="AZ365" i="3" s="1"/>
  <c r="G366" i="3"/>
  <c r="BA368" i="3"/>
  <c r="BL368" i="3"/>
  <c r="BA374" i="3"/>
  <c r="AZ374" i="3" s="1"/>
  <c r="BA388" i="3"/>
  <c r="AZ388" i="3" s="1"/>
  <c r="BA396" i="3"/>
  <c r="BA209" i="3"/>
  <c r="BL217" i="3"/>
  <c r="AZ217" i="3" s="1"/>
  <c r="BA219" i="3"/>
  <c r="BA221" i="3"/>
  <c r="BA223" i="3"/>
  <c r="BL228" i="3"/>
  <c r="AZ228" i="3" s="1"/>
  <c r="BA230" i="3"/>
  <c r="AZ230" i="3" s="1"/>
  <c r="BL232" i="3"/>
  <c r="BL234" i="3"/>
  <c r="BA236" i="3"/>
  <c r="AZ236" i="3" s="1"/>
  <c r="BA238" i="3"/>
  <c r="BA243" i="3"/>
  <c r="BL248" i="3"/>
  <c r="AZ248" i="3" s="1"/>
  <c r="BL250" i="3"/>
  <c r="AZ250" i="3" s="1"/>
  <c r="BA259" i="3"/>
  <c r="AZ259" i="3" s="1"/>
  <c r="BL261" i="3"/>
  <c r="BA263" i="3"/>
  <c r="BA267" i="3"/>
  <c r="AZ267" i="3" s="1"/>
  <c r="BA269" i="3"/>
  <c r="AZ269" i="3" s="1"/>
  <c r="BA271" i="3"/>
  <c r="BL271" i="3"/>
  <c r="BA274" i="3"/>
  <c r="AZ274" i="3" s="1"/>
  <c r="BL274" i="3"/>
  <c r="BA276" i="3"/>
  <c r="BA284" i="3"/>
  <c r="BL286" i="3"/>
  <c r="BA302" i="3"/>
  <c r="BA117" i="3"/>
  <c r="BA130" i="3"/>
  <c r="AZ130" i="3" s="1"/>
  <c r="BL130" i="3"/>
  <c r="B13" i="1"/>
  <c r="E13" i="1" s="1"/>
  <c r="K13" i="1"/>
  <c r="M13" i="1" s="1"/>
  <c r="O13" i="1" s="1"/>
  <c r="P13" i="1" s="1"/>
  <c r="AC18" i="36"/>
  <c r="W18" i="36"/>
  <c r="AB25" i="40"/>
  <c r="U25" i="40"/>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L278" i="3"/>
  <c r="BA282" i="3"/>
  <c r="BL282" i="3"/>
  <c r="BA288" i="3"/>
  <c r="BA290" i="3"/>
  <c r="BL300" i="3"/>
  <c r="BA116" i="3"/>
  <c r="AZ116" i="3" s="1"/>
  <c r="BA121" i="3"/>
  <c r="AZ121" i="3" s="1"/>
  <c r="BL121" i="3"/>
  <c r="BA124" i="3"/>
  <c r="AZ124" i="3" s="1"/>
  <c r="BA126" i="3"/>
  <c r="AZ126" i="3" s="1"/>
  <c r="BA129" i="3"/>
  <c r="BA133" i="3"/>
  <c r="AZ133" i="3" s="1"/>
  <c r="G138" i="3"/>
  <c r="BA156" i="3"/>
  <c r="AZ156" i="3" s="1"/>
  <c r="BL181" i="3"/>
  <c r="AZ181" i="3" s="1"/>
  <c r="BL198" i="3"/>
  <c r="AZ198" i="3" s="1"/>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BA281" i="3"/>
  <c r="BA286" i="3"/>
  <c r="BL287" i="3"/>
  <c r="BL290" i="3"/>
  <c r="AZ290" i="3" s="1"/>
  <c r="BL291" i="3"/>
  <c r="AZ291" i="3" s="1"/>
  <c r="BL293" i="3"/>
  <c r="BL294" i="3"/>
  <c r="BA297" i="3"/>
  <c r="AZ297" i="3" s="1"/>
  <c r="BL297" i="3"/>
  <c r="BA132" i="3"/>
  <c r="AZ132" i="3" s="1"/>
  <c r="BL138" i="3"/>
  <c r="BA177" i="3"/>
  <c r="AZ177" i="3" s="1"/>
  <c r="BL141" i="3"/>
  <c r="BL143" i="3"/>
  <c r="AZ143" i="3" s="1"/>
  <c r="BL157" i="3"/>
  <c r="AZ157" i="3" s="1"/>
  <c r="BL159" i="3"/>
  <c r="AZ159" i="3" s="1"/>
  <c r="BL177" i="3"/>
  <c r="BL183" i="3"/>
  <c r="BA186" i="3"/>
  <c r="AZ186" i="3" s="1"/>
  <c r="BA190" i="3"/>
  <c r="AZ190" i="3" s="1"/>
  <c r="BA197" i="3"/>
  <c r="BL201" i="3"/>
  <c r="AZ201" i="3" s="1"/>
  <c r="BL203" i="3"/>
  <c r="AZ203" i="3" s="1"/>
  <c r="BA204" i="3"/>
  <c r="AZ204" i="3" s="1"/>
  <c r="BA18" i="3"/>
  <c r="BL21" i="3"/>
  <c r="G23" i="3"/>
  <c r="BL29" i="3"/>
  <c r="G33" i="3"/>
  <c r="G34" i="3"/>
  <c r="BA37" i="3"/>
  <c r="BL39" i="3"/>
  <c r="G43" i="3"/>
  <c r="G44" i="3"/>
  <c r="BA45" i="3"/>
  <c r="AZ45" i="3" s="1"/>
  <c r="BA46" i="3"/>
  <c r="AZ46" i="3" s="1"/>
  <c r="BL49" i="3"/>
  <c r="AZ49" i="3" s="1"/>
  <c r="BL50" i="3"/>
  <c r="AZ50" i="3" s="1"/>
  <c r="BL51" i="3"/>
  <c r="AZ51" i="3" s="1"/>
  <c r="BL53" i="3"/>
  <c r="BL57" i="3"/>
  <c r="G59" i="3"/>
  <c r="BA65" i="3"/>
  <c r="AZ65" i="3" s="1"/>
  <c r="BL70" i="3"/>
  <c r="BL71" i="3"/>
  <c r="AZ71" i="3" s="1"/>
  <c r="BL79" i="3"/>
  <c r="D31" i="71"/>
  <c r="C32" i="71"/>
  <c r="D50" i="71"/>
  <c r="C51" i="7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BA36" i="3"/>
  <c r="BL38" i="3"/>
  <c r="BA39" i="3"/>
  <c r="AZ39" i="3" s="1"/>
  <c r="BL47" i="3"/>
  <c r="AZ47" i="3" s="1"/>
  <c r="G49" i="3"/>
  <c r="G50" i="3"/>
  <c r="G52" i="3"/>
  <c r="BA52" i="3"/>
  <c r="AZ52" i="3" s="1"/>
  <c r="BA53" i="3"/>
  <c r="BA54" i="3"/>
  <c r="BA62" i="3"/>
  <c r="AZ62" i="3" s="1"/>
  <c r="BA66" i="3"/>
  <c r="AZ66" i="3" s="1"/>
  <c r="BL67" i="3"/>
  <c r="AZ67" i="3" s="1"/>
  <c r="BA72" i="3"/>
  <c r="AZ72" i="3" s="1"/>
  <c r="BA73" i="3"/>
  <c r="AZ73" i="3" s="1"/>
  <c r="AZ103" i="3"/>
  <c r="AC18" i="35"/>
  <c r="W18" i="35"/>
  <c r="D34" i="71"/>
  <c r="C35" i="71"/>
  <c r="C60" i="71"/>
  <c r="D59" i="71"/>
  <c r="F66" i="71"/>
  <c r="Q66" i="71" s="1"/>
  <c r="Q67"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AZ48" i="3" s="1"/>
  <c r="BL54" i="3"/>
  <c r="G56" i="3"/>
  <c r="BL56" i="3"/>
  <c r="BA58" i="3"/>
  <c r="AZ58" i="3" s="1"/>
  <c r="BL59" i="3"/>
  <c r="BL60" i="3"/>
  <c r="BA61" i="3"/>
  <c r="AZ61" i="3" s="1"/>
  <c r="BA63" i="3"/>
  <c r="AZ63" i="3" s="1"/>
  <c r="BA70" i="3"/>
  <c r="G76" i="3"/>
  <c r="W21" i="37"/>
  <c r="AC21" i="37"/>
  <c r="AB21" i="34"/>
  <c r="U21" i="34"/>
  <c r="C55" i="71"/>
  <c r="D54" i="71"/>
  <c r="D67" i="71"/>
  <c r="C66" i="71"/>
  <c r="O67" i="71"/>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AA18" i="35"/>
  <c r="AA28" i="71"/>
  <c r="AB27" i="71"/>
  <c r="E75" i="71"/>
  <c r="E74" i="71" s="1"/>
  <c r="AB25" i="71"/>
  <c r="X26" i="71"/>
  <c r="Y25" i="71"/>
  <c r="Z25" i="71" s="1"/>
  <c r="Y29" i="71"/>
  <c r="Z29" i="71" s="1"/>
  <c r="AB32" i="71"/>
  <c r="X33" i="71"/>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BL77" i="3"/>
  <c r="AZ77" i="3" s="1"/>
  <c r="BA79" i="3"/>
  <c r="AZ79" i="3" s="1"/>
  <c r="G82" i="3"/>
  <c r="G83" i="3"/>
  <c r="BA84" i="3"/>
  <c r="AZ84" i="3" s="1"/>
  <c r="BL88" i="3"/>
  <c r="AZ88" i="3" s="1"/>
  <c r="BL90" i="3"/>
  <c r="BL92" i="3"/>
  <c r="G101" i="3"/>
  <c r="BA101" i="3"/>
  <c r="G109" i="3"/>
  <c r="BL112" i="3"/>
  <c r="BL81" i="3"/>
  <c r="BA82" i="3"/>
  <c r="AZ82" i="3" s="1"/>
  <c r="BL83" i="3"/>
  <c r="G88" i="3"/>
  <c r="BA90" i="3"/>
  <c r="AZ90" i="3" s="1"/>
  <c r="BL94" i="3"/>
  <c r="AZ94" i="3" s="1"/>
  <c r="BA100" i="3"/>
  <c r="AZ100" i="3" s="1"/>
  <c r="BA102" i="3"/>
  <c r="BL105" i="3"/>
  <c r="AZ105" i="3" s="1"/>
  <c r="BL107" i="3"/>
  <c r="BA111" i="3"/>
  <c r="AZ111" i="3" s="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52" i="3"/>
  <c r="AZ456" i="3"/>
  <c r="AZ467"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C16" i="67"/>
  <c r="C16" i="15"/>
  <c r="M23" i="15"/>
  <c r="M9" i="15"/>
  <c r="D3" i="73"/>
  <c r="D6" i="73"/>
  <c r="D5" i="73"/>
  <c r="M22" i="15"/>
  <c r="D4" i="73"/>
  <c r="E26" i="43" l="1"/>
  <c r="N370" i="46"/>
  <c r="G26" i="43"/>
  <c r="N94" i="46"/>
  <c r="J26" i="43"/>
  <c r="P6" i="1"/>
  <c r="C13" i="12" s="1"/>
  <c r="F26" i="43"/>
  <c r="D26" i="43" s="1"/>
  <c r="C25" i="43" s="1"/>
  <c r="D79" i="71"/>
  <c r="C78" i="71"/>
  <c r="D78" i="71" s="1"/>
  <c r="T32" i="71"/>
  <c r="D32" i="71"/>
  <c r="AC39" i="37"/>
  <c r="W39" i="37"/>
  <c r="AC9" i="34"/>
  <c r="W9" i="34"/>
  <c r="G5" i="3"/>
  <c r="B3" i="3" s="1"/>
  <c r="E510" i="3" s="1"/>
  <c r="AZ253" i="3"/>
  <c r="AZ215" i="3"/>
  <c r="AZ102" i="3"/>
  <c r="T28" i="71"/>
  <c r="D28" i="71"/>
  <c r="U28" i="71" s="1"/>
  <c r="C27" i="71"/>
  <c r="D83" i="71"/>
  <c r="C82" i="71"/>
  <c r="D82" i="71" s="1"/>
  <c r="C56" i="71"/>
  <c r="D55" i="71"/>
  <c r="AZ38" i="3"/>
  <c r="AZ332" i="3"/>
  <c r="AZ282" i="3"/>
  <c r="AZ284" i="3"/>
  <c r="AZ263" i="3"/>
  <c r="AZ223" i="3"/>
  <c r="AZ453" i="3"/>
  <c r="U23" i="35"/>
  <c r="AB23" i="35"/>
  <c r="AC9" i="33"/>
  <c r="W9" i="33"/>
  <c r="AC44" i="39"/>
  <c r="W44" i="39"/>
  <c r="W12" i="35"/>
  <c r="AC12" i="35"/>
  <c r="J6" i="15"/>
  <c r="J7" i="36"/>
  <c r="AZ486" i="3"/>
  <c r="G16" i="1"/>
  <c r="F10" i="39" s="1"/>
  <c r="AA10" i="39" s="1"/>
  <c r="C70" i="71"/>
  <c r="D70" i="71" s="1"/>
  <c r="D71" i="71"/>
  <c r="O65" i="71"/>
  <c r="D66" i="71"/>
  <c r="O66" i="71"/>
  <c r="D60" i="71"/>
  <c r="T60" i="71"/>
  <c r="AZ53" i="3"/>
  <c r="C52" i="71"/>
  <c r="D51" i="71"/>
  <c r="AZ286" i="3"/>
  <c r="AZ251" i="3"/>
  <c r="AZ247" i="3"/>
  <c r="AZ302" i="3"/>
  <c r="AZ271" i="3"/>
  <c r="AZ243" i="3"/>
  <c r="AZ368" i="3"/>
  <c r="AZ471" i="3"/>
  <c r="D44" i="71"/>
  <c r="T44" i="71"/>
  <c r="AZ457" i="3"/>
  <c r="AZ461" i="3"/>
  <c r="AA25" i="37"/>
  <c r="S25" i="37"/>
  <c r="AB44" i="39"/>
  <c r="U44" i="39"/>
  <c r="AZ101" i="3"/>
  <c r="C40" i="71"/>
  <c r="D39" i="71"/>
  <c r="D75" i="71"/>
  <c r="C74" i="71"/>
  <c r="D74" i="71" s="1"/>
  <c r="AZ70" i="3"/>
  <c r="AZ28" i="3"/>
  <c r="C36" i="71"/>
  <c r="D35" i="71"/>
  <c r="AZ29" i="3"/>
  <c r="AZ25" i="3"/>
  <c r="AZ197" i="3"/>
  <c r="AZ238" i="3"/>
  <c r="AZ219" i="3"/>
  <c r="AZ418" i="3"/>
  <c r="U25" i="37"/>
  <c r="AB25" i="37"/>
  <c r="W26" i="33"/>
  <c r="AC26" i="33"/>
  <c r="J7" i="37"/>
  <c r="K1" i="73"/>
  <c r="E499" i="3"/>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F11" i="67"/>
  <c r="F1" i="15"/>
  <c r="Q52" i="15"/>
  <c r="J18" i="67"/>
  <c r="C32" i="15"/>
  <c r="F1" i="67"/>
  <c r="Q52" i="67"/>
  <c r="Q60" i="15"/>
  <c r="Q73" i="15"/>
  <c r="Q61" i="67"/>
  <c r="Q74" i="67"/>
  <c r="Q74" i="15"/>
  <c r="Q61" i="15"/>
  <c r="AE11" i="1"/>
  <c r="AE6" i="1"/>
  <c r="AE9" i="1"/>
  <c r="F27" i="68"/>
  <c r="AE7" i="1"/>
  <c r="AE8" i="1"/>
  <c r="AE12" i="1"/>
  <c r="AE10" i="1"/>
  <c r="G1" i="73"/>
  <c r="F41" i="67"/>
  <c r="J5" i="15" l="1"/>
  <c r="J24" i="15" s="1"/>
  <c r="H10" i="39"/>
  <c r="U10" i="39" s="1"/>
  <c r="J10" i="39"/>
  <c r="W10" i="39" s="1"/>
  <c r="E255"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35" i="3"/>
  <c r="E449" i="3"/>
  <c r="E575" i="3"/>
  <c r="E3" i="6"/>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56" i="3"/>
  <c r="E517" i="3"/>
  <c r="E466" i="3"/>
  <c r="E212"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479" i="3"/>
  <c r="E554" i="3"/>
  <c r="E442" i="3"/>
  <c r="E536" i="3"/>
  <c r="D36" i="71"/>
  <c r="T36" i="71"/>
  <c r="E37" i="3"/>
  <c r="E491" i="3"/>
  <c r="AP6" i="3"/>
  <c r="E430" i="3"/>
  <c r="E502" i="3"/>
  <c r="E286" i="3"/>
  <c r="E539" i="3"/>
  <c r="T52" i="71"/>
  <c r="D52" i="71"/>
  <c r="C26" i="71"/>
  <c r="D26" i="71" s="1"/>
  <c r="D27" i="71"/>
  <c r="I3" i="6"/>
  <c r="E541" i="3"/>
  <c r="R6" i="3"/>
  <c r="E199" i="3"/>
  <c r="T40" i="71"/>
  <c r="D40"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8"/>
  <c r="C35" i="9"/>
  <c r="M27" i="67"/>
  <c r="F41" i="15"/>
  <c r="M27" i="15"/>
  <c r="D116" i="43" l="1"/>
  <c r="AC6" i="3"/>
  <c r="E6" i="3"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4" i="67"/>
  <c r="C17" i="15"/>
  <c r="C17" i="67"/>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6" i="1"/>
  <c r="AO8" i="1"/>
  <c r="AO7"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l="1"/>
  <c r="D59" i="9"/>
  <c r="E97" i="9"/>
  <c r="E96" i="9"/>
  <c r="C96" i="9"/>
  <c r="C86" i="9"/>
  <c r="C93" i="9"/>
  <c r="M66" i="9"/>
  <c r="L66" i="9"/>
  <c r="B31" i="72"/>
  <c r="D15" i="53"/>
  <c r="M68" i="9"/>
  <c r="L68" i="9"/>
  <c r="M54" i="9"/>
  <c r="D56" i="9"/>
  <c r="D58" i="9"/>
  <c r="C85" i="9"/>
  <c r="C95" i="9"/>
  <c r="C97" i="9"/>
  <c r="B32" i="72"/>
  <c r="D14" i="53"/>
  <c r="N69" i="9"/>
  <c r="M69" i="9"/>
  <c r="M63" i="9"/>
  <c r="L63" i="9"/>
  <c r="B52" i="72"/>
  <c r="G4" i="52"/>
  <c r="M67" i="9"/>
  <c r="L67" i="9"/>
  <c r="B53" i="72"/>
  <c r="F5" i="52"/>
  <c r="F119" i="9"/>
  <c r="B21" i="72"/>
  <c r="D7" i="53"/>
  <c r="P57" i="9"/>
  <c r="D55" i="9"/>
  <c r="M53" i="9"/>
  <c r="N57" i="9"/>
  <c r="N58" i="9"/>
  <c r="D9" i="52"/>
  <c r="D123" i="9"/>
  <c r="M65" i="9"/>
  <c r="L65" i="9"/>
  <c r="B48" i="72"/>
  <c r="E4" i="52"/>
  <c r="M64" i="9"/>
  <c r="L64" i="9"/>
  <c r="B47" i="72"/>
  <c r="D4" i="52"/>
  <c r="M48" i="9"/>
  <c r="D122" i="9"/>
  <c r="D8" i="52"/>
  <c r="N61" i="9"/>
  <c r="M49" i="9"/>
  <c r="N59" i="9"/>
  <c r="N60" i="9"/>
  <c r="E118" i="9"/>
  <c r="D118" i="9"/>
  <c r="D119" i="9"/>
  <c r="D5" i="52"/>
  <c r="B49" i="72"/>
  <c r="C64" i="9"/>
  <c r="C63" i="9"/>
  <c r="C67" i="9"/>
  <c r="C68" i="9"/>
  <c r="D54" i="9"/>
  <c r="G118" i="9"/>
  <c r="F118" i="9"/>
  <c r="F4" i="52"/>
  <c r="B51" i="72"/>
  <c r="C73" i="9"/>
  <c r="C78" i="9"/>
  <c r="H102" i="9"/>
  <c r="C5" i="74"/>
  <c r="C104" i="9"/>
  <c r="H4" i="52"/>
  <c r="B20" i="72"/>
  <c r="C80" i="9"/>
  <c r="E80" i="9"/>
  <c r="E81" i="9"/>
  <c r="D5" i="53"/>
  <c r="D6" i="53"/>
  <c r="B22" i="72"/>
  <c r="I4" i="52"/>
  <c r="C105" i="9"/>
  <c r="D52" i="9"/>
  <c r="D53" i="9"/>
  <c r="H119" i="9"/>
  <c r="H5" i="52"/>
  <c r="D45" i="9"/>
  <c r="C72" i="9"/>
  <c r="C79" i="9"/>
  <c r="C81" i="9"/>
  <c r="H108" i="9"/>
  <c r="C6" i="74"/>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<sst xmlns="http://schemas.openxmlformats.org/spreadsheetml/2006/main" count="7836" uniqueCount="3432">
  <si>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</si>
  <si>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</si>
  <si>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</si>
  <si>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</si>
  <si>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</si>
  <si>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</si>
  <si>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</si>
  <si>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</si>
  <si>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</si>
  <si>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</si>
  <si>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</si>
  <si>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</si>
  <si>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</si>
  <si>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</si>
  <si>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</si>
  <si>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</si>
  <si>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</si>
  <si>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</si>
  <si>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</si>
  <si>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</si>
  <si>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</si>
  <si>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</si>
  <si>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</si>
  <si>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</si>
  <si>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</si>
  <si>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</si>
  <si>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</si>
  <si>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</si>
  <si>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</si>
  <si>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</si>
  <si>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</si>
  <si>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</si>
  <si>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</si>
  <si>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</si>
  <si>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</si>
  <si>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</si>
  <si>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</si>
  <si>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</si>
  <si>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</si>
  <si>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</si>
  <si>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</si>
  <si>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</si>
  <si>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</si>
  <si>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</si>
  <si>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</si>
  <si>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</si>
  <si>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</si>
  <si>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</si>
  <si>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</si>
  <si>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</si>
  <si>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</si>
  <si>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</si>
  <si>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</si>
  <si>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</si>
  <si>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</si>
  <si>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</si>
  <si>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</si>
  <si>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</si>
  <si>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</si>
  <si>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</si>
  <si>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</si>
  <si>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</si>
  <si>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</si>
  <si>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</si>
  <si>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</si>
  <si>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</si>
  <si>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</si>
  <si>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</si>
  <si>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</si>
  <si>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</si>
  <si>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</si>
  <si>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</si>
  <si>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</si>
  <si>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</si>
  <si>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</si>
  <si>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</si>
  <si>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</si>
  <si>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</si>
  <si>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</si>
  <si>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</si>
  <si>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</si>
  <si>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</si>
  <si>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</si>
  <si>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</si>
  <si>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</si>
  <si>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</si>
  <si>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</si>
  <si>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</si>
  <si>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</si>
  <si>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</si>
  <si>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</si>
  <si>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</si>
  <si>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</si>
  <si>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</si>
  <si>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</si>
  <si>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</si>
  <si>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</si>
  <si>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</si>
  <si>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</si>
  <si>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</si>
  <si>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</si>
  <si>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</si>
  <si>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</si>
  <si>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</si>
  <si>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</si>
  <si>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</si>
  <si>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</si>
  <si>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</si>
  <si>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</si>
  <si>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</si>
  <si>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</si>
  <si>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</si>
  <si>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</si>
  <si>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</si>
  <si>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</si>
  <si>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</si>
  <si>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</si>
  <si>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</si>
  <si>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</si>
  <si>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</si>
  <si>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</si>
  <si>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</si>
  <si>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</si>
  <si>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</si>
  <si>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</si>
  <si>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</si>
  <si>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</si>
  <si>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</si>
  <si>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</si>
  <si>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</si>
  <si>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</si>
  <si>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</si>
  <si>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</si>
  <si>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</si>
  <si>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</si>
  <si>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</si>
  <si>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</si>
  <si>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</si>
  <si>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</si>
  <si>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</si>
  <si>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</si>
  <si>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</si>
  <si>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</si>
  <si>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</si>
  <si>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</si>
  <si>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</si>
  <si>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</si>
  <si>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</si>
  <si>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</si>
  <si>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</si>
  <si>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</si>
  <si>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</si>
  <si>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</si>
  <si>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</si>
  <si>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</si>
  <si>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</si>
  <si>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</si>
  <si>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</si>
  <si>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</si>
  <si>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</si>
  <si>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</si>
  <si>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</si>
  <si>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</si>
  <si>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</si>
  <si>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</si>
  <si>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</si>
  <si>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</si>
  <si>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</si>
  <si>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</si>
  <si>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</si>
  <si>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</si>
  <si>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</si>
  <si>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</si>
  <si>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</si>
  <si>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</si>
  <si>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</si>
  <si>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</si>
  <si>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</si>
  <si>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</si>
  <si>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</si>
  <si>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</si>
  <si>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</si>
  <si>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</si>
  <si>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</si>
  <si>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</si>
  <si>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</si>
  <si>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</si>
  <si>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</si>
  <si>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</si>
  <si>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</si>
  <si>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</si>
  <si>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</si>
  <si>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</si>
  <si>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</si>
  <si>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</si>
  <si>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</si>
  <si>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</si>
  <si>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</si>
  <si>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</si>
  <si>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</si>
  <si>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</si>
  <si>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</si>
  <si>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</si>
  <si>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</si>
  <si>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</si>
  <si>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</si>
  <si>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</si>
  <si>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</si>
  <si>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</si>
  <si>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</si>
  <si>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</si>
  <si>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</si>
  <si>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</si>
  <si>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</si>
  <si>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</si>
  <si>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</si>
  <si>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</si>
  <si>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</si>
  <si>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</si>
  <si>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</si>
  <si>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</si>
  <si>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</si>
  <si>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</si>
  <si>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</si>
  <si>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</si>
  <si>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</si>
  <si>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</si>
  <si>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</si>
  <si>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</si>
  <si>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</si>
  <si>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</si>
  <si>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</si>
  <si>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</si>
  <si>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</si>
  <si>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</si>
  <si>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</si>
  <si>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</si>
  <si>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</si>
  <si>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</si>
  <si>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</si>
  <si>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</si>
  <si>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</si>
  <si>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</si>
  <si>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</si>
  <si>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</si>
  <si>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</si>
  <si>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</si>
  <si>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</si>
  <si>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</si>
  <si>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</si>
  <si>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</si>
  <si>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</si>
  <si>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</si>
  <si>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</si>
  <si>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</si>
  <si>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</si>
  <si>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</si>
  <si>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</si>
  <si>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</si>
  <si>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</si>
  <si>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</si>
  <si>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</si>
  <si>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</si>
  <si>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</si>
  <si>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</si>
  <si>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</si>
  <si>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</si>
  <si>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</si>
  <si>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</si>
  <si>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</si>
  <si>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</si>
  <si>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</si>
  <si>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</si>
  <si>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</si>
  <si>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</si>
  <si>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</si>
  <si>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</si>
  <si>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</si>
  <si>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</si>
  <si>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</si>
  <si>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</si>
  <si>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</si>
  <si>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</si>
  <si>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</si>
  <si>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</si>
  <si>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</si>
  <si>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</si>
  <si>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</si>
  <si>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</si>
  <si>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</si>
  <si>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</si>
  <si>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</si>
  <si>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</si>
  <si>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</si>
  <si>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</si>
  <si>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</si>
  <si>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</si>
  <si>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</si>
  <si>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</si>
  <si>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</si>
  <si>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</si>
  <si>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</si>
  <si>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</si>
  <si>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</si>
  <si>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</si>
  <si>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</si>
  <si>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</si>
  <si>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</si>
  <si>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</si>
  <si>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</si>
  <si>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</si>
  <si>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</si>
  <si>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</si>
  <si>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</si>
  <si>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</si>
  <si>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</si>
  <si>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</si>
  <si>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</si>
  <si>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</si>
  <si>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</si>
  <si>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</si>
  <si>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</si>
  <si>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</si>
  <si>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</si>
  <si>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</si>
  <si>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</si>
  <si>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</si>
  <si>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</si>
  <si>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</si>
  <si>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</si>
  <si>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</si>
  <si>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</si>
  <si>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</si>
  <si>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</si>
  <si>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</si>
  <si>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</si>
  <si>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</si>
  <si>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</si>
  <si>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</si>
  <si>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</si>
  <si>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</si>
  <si>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</si>
  <si>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</si>
  <si>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</si>
  <si>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</si>
  <si>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</si>
  <si>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</si>
  <si>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</si>
  <si>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</si>
  <si>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</si>
  <si>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</si>
  <si>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</si>
  <si>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</si>
  <si>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</si>
  <si>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</si>
  <si>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</si>
  <si>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</si>
  <si>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</si>
  <si>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</si>
  <si>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</si>
  <si>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</si>
  <si>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</si>
  <si>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</si>
  <si>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</si>
  <si>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</si>
  <si>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</si>
  <si>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</si>
  <si>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</si>
  <si>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</si>
  <si>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</si>
  <si>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</si>
  <si>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</si>
  <si>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</si>
  <si>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</si>
  <si>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</si>
  <si>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</si>
  <si>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</si>
  <si>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</si>
  <si>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</si>
  <si>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</si>
  <si>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</si>
  <si>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</si>
  <si>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</si>
  <si>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</si>
  <si>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</si>
  <si>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</si>
  <si>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</si>
  <si>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</si>
  <si>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</si>
  <si>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</si>
  <si>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</si>
  <si>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</si>
  <si>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</si>
  <si>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</si>
  <si>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</si>
  <si>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</si>
  <si>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</si>
  <si>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</si>
  <si>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</si>
  <si>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</si>
  <si>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</si>
  <si>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</si>
  <si>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</si>
  <si>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</si>
  <si>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</si>
  <si>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</si>
  <si>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</si>
  <si>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</si>
  <si>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</si>
  <si>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</si>
  <si>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</si>
  <si>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</si>
  <si>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</si>
  <si>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</si>
  <si>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</si>
  <si>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</si>
  <si>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</si>
  <si>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</si>
  <si>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</si>
  <si>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</si>
  <si>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</si>
  <si>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</si>
  <si>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</si>
  <si>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</si>
  <si>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</si>
  <si>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</si>
  <si>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</si>
  <si>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</si>
  <si>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</si>
  <si>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</si>
  <si>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</si>
  <si>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</si>
  <si>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</si>
  <si>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</si>
  <si>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</si>
  <si>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</si>
  <si>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</si>
  <si>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</si>
  <si>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</si>
  <si>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</si>
  <si>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</si>
  <si>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</si>
  <si>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</si>
  <si>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</si>
  <si>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</si>
  <si>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</si>
  <si>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</si>
  <si>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</si>
  <si>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</si>
  <si>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</si>
  <si>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</si>
  <si>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</si>
  <si>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</si>
  <si>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</si>
  <si>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</si>
  <si>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</si>
  <si>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</si>
  <si>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</si>
  <si>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</si>
  <si>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</si>
  <si>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</si>
  <si>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</si>
  <si>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</si>
  <si>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</si>
  <si>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</si>
  <si>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</si>
  <si>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</si>
  <si>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</si>
  <si>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</si>
  <si>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</si>
  <si>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</si>
  <si>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</si>
  <si>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</si>
  <si>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</si>
  <si>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</si>
  <si>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</si>
  <si>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</si>
  <si>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</si>
  <si>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</si>
  <si>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</si>
  <si>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</si>
  <si>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</si>
  <si>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</si>
  <si>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</si>
  <si>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</si>
  <si>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</si>
  <si>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</si>
  <si>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</si>
  <si>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</si>
  <si>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</si>
  <si>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</si>
  <si>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</si>
  <si>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</si>
  <si>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</si>
  <si>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</si>
  <si>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</si>
  <si>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</si>
  <si>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</si>
  <si>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</si>
  <si>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</si>
  <si>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</si>
  <si>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</si>
  <si>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</si>
  <si>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</si>
  <si>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</si>
  <si>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</si>
  <si>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</si>
  <si>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</si>
  <si>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</si>
  <si>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</si>
  <si>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</si>
  <si>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</si>
  <si>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</si>
  <si>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</si>
  <si>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</si>
  <si>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</si>
  <si>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</si>
  <si>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</si>
  <si>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</si>
  <si>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</si>
  <si>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</si>
  <si>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</si>
  <si>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</si>
  <si>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</si>
  <si>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</si>
  <si>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</si>
  <si>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</si>
  <si>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</si>
  <si>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</si>
  <si>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</si>
  <si>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</si>
  <si>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</si>
  <si>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</si>
  <si>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</si>
  <si>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</si>
  <si>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</si>
  <si>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</si>
  <si>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</si>
  <si>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</si>
  <si>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</si>
  <si>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</si>
  <si>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</si>
  <si>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</si>
  <si>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</si>
  <si>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</si>
  <si>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</si>
  <si>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</si>
  <si>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</si>
  <si>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</si>
  <si>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</si>
  <si>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</si>
  <si>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</si>
  <si>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</si>
  <si>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</si>
  <si>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</si>
  <si>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</si>
  <si>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</si>
  <si>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</si>
  <si>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</si>
  <si>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</si>
  <si>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</si>
  <si>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</si>
  <si>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</si>
  <si>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</si>
  <si>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</si>
  <si>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</si>
  <si>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</si>
  <si>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</si>
  <si>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</si>
  <si>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</si>
  <si>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</si>
  <si>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</si>
  <si>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</si>
  <si>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</si>
  <si>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</si>
  <si>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</si>
  <si>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</si>
  <si>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</si>
  <si>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</si>
  <si>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</si>
  <si>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</si>
  <si>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</si>
  <si>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</si>
  <si>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</si>
  <si>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</si>
  <si>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</si>
  <si>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</si>
  <si>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</si>
  <si>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</si>
  <si>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</si>
  <si>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</si>
  <si>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</si>
  <si>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</si>
  <si>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</si>
  <si>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</si>
  <si>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</si>
  <si>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</si>
  <si>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</si>
  <si>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</si>
  <si>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</si>
  <si>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</si>
  <si>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</si>
  <si>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</si>
  <si>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</si>
  <si>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</si>
  <si>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</si>
  <si>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</si>
  <si>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</si>
  <si>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</si>
  <si>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</si>
  <si>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</si>
  <si>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</si>
  <si>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</si>
  <si>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</si>
  <si>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</si>
  <si>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</si>
  <si>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</si>
  <si>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</si>
  <si>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</si>
  <si>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</si>
  <si>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</si>
  <si>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</si>
  <si>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</si>
  <si>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</si>
  <si>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</si>
  <si>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</si>
  <si>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</si>
  <si>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</si>
  <si>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</si>
  <si>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</si>
  <si>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</si>
  <si>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</si>
  <si>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</si>
  <si>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</si>
  <si>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</si>
  <si>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</si>
  <si>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</si>
  <si>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</si>
  <si>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</si>
  <si>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</si>
  <si>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</si>
  <si>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</si>
  <si>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</si>
  <si>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</si>
  <si>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</si>
  <si>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</si>
  <si>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</si>
  <si>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</si>
  <si>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</si>
  <si>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</si>
  <si>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</si>
  <si>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</si>
  <si>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</si>
  <si>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</si>
  <si>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</si>
  <si>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</si>
  <si>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</si>
  <si>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</si>
  <si>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</si>
  <si>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</si>
  <si>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</si>
  <si>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</si>
  <si>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</si>
  <si>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</si>
  <si>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</si>
  <si>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</si>
  <si>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</si>
  <si>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</si>
  <si>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</si>
  <si>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</si>
  <si>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</si>
  <si>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</si>
  <si>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</si>
  <si>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</si>
  <si>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</si>
  <si>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</si>
  <si>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</si>
  <si>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</si>
  <si>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</si>
  <si>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</si>
  <si>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</si>
  <si>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</si>
  <si>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</si>
  <si>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</si>
  <si>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</si>
  <si>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</si>
  <si>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</si>
  <si>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</si>
  <si>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</si>
  <si>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</si>
  <si>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</si>
  <si>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</si>
  <si>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</si>
  <si>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</si>
  <si>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</si>
  <si>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</si>
  <si>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</si>
  <si>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</si>
  <si>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</si>
  <si>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</si>
  <si>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</si>
  <si>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</si>
  <si>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</si>
  <si>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</si>
  <si>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</si>
  <si>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</si>
  <si>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</si>
  <si>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</si>
  <si>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</si>
  <si>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</si>
  <si>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</si>
  <si>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</si>
  <si>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</si>
  <si>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</si>
  <si>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</si>
  <si>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</si>
  <si>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</si>
  <si>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</si>
  <si>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</si>
  <si>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</si>
  <si>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</si>
  <si>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</si>
  <si>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</si>
  <si>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</si>
  <si>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</si>
  <si>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</si>
  <si>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</si>
  <si>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</si>
  <si>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</si>
  <si>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</si>
  <si>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</si>
  <si>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</si>
  <si>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</si>
  <si>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</si>
  <si>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</si>
  <si>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</si>
  <si>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</si>
  <si>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</si>
  <si>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</si>
  <si>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</si>
  <si>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</si>
  <si>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</si>
  <si>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</si>
  <si>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</si>
  <si>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</si>
  <si>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</si>
  <si>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</si>
  <si>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</si>
  <si>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</si>
  <si>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</si>
  <si>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</si>
  <si>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</si>
  <si>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</si>
  <si>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</si>
  <si>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</si>
  <si>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</si>
  <si>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</si>
  <si>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</si>
  <si>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</si>
  <si>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</si>
  <si>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</si>
  <si>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</si>
  <si>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</si>
  <si>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</si>
  <si>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</si>
  <si>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</si>
  <si>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</si>
  <si>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</si>
  <si>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</si>
  <si>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</si>
  <si>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</si>
  <si>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</si>
  <si>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</si>
  <si>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</si>
  <si>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</si>
  <si>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</si>
  <si>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</si>
  <si>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</si>
  <si>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</si>
  <si>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</si>
  <si>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</si>
  <si>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</si>
  <si>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</si>
  <si>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</si>
  <si>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</si>
  <si>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</si>
  <si>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</si>
  <si>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</si>
  <si>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</si>
  <si>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</si>
  <si>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</si>
  <si>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</si>
  <si>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</si>
  <si>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</si>
  <si>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</si>
  <si>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</si>
  <si>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</si>
  <si>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</si>
  <si>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</si>
  <si>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</si>
  <si>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</si>
  <si>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</si>
  <si>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</si>
  <si>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</si>
  <si>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</si>
  <si>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</si>
  <si>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</si>
  <si>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</si>
  <si>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</si>
  <si>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</si>
  <si>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</si>
  <si>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</si>
  <si>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</si>
  <si>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</si>
  <si>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</si>
  <si>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</si>
  <si>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</si>
  <si>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</si>
  <si>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</si>
  <si>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</si>
  <si>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</si>
  <si>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</si>
  <si>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</si>
  <si>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</si>
  <si>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</si>
  <si>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</si>
  <si>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</si>
  <si>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</si>
  <si>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</si>
  <si>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</si>
  <si>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</si>
  <si>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</si>
  <si>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</si>
  <si>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</si>
  <si>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</si>
  <si>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</si>
  <si>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</si>
  <si>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</si>
  <si>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</si>
  <si>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</si>
  <si>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</si>
  <si>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</si>
  <si>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</si>
  <si>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</si>
  <si>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</si>
  <si>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</si>
  <si>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</si>
  <si>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</si>
  <si>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</si>
  <si>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</si>
  <si>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</si>
  <si>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</si>
  <si>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</si>
  <si>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</si>
  <si>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</si>
  <si>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</si>
  <si>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</si>
  <si>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</si>
  <si>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</si>
  <si>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</si>
  <si>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</si>
  <si>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</si>
  <si>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</si>
  <si>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</si>
  <si>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</si>
  <si>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</si>
  <si>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</si>
  <si>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</si>
  <si>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</si>
  <si>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</si>
  <si>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</si>
  <si>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</si>
  <si>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</si>
  <si>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</si>
  <si>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</si>
  <si>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</si>
  <si>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</si>
  <si>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</si>
  <si>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</si>
  <si>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</si>
  <si>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</si>
  <si>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</si>
  <si>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</si>
  <si>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</si>
  <si>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</si>
  <si>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</si>
  <si>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</si>
  <si>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</si>
  <si>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</si>
  <si>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</si>
  <si>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</si>
  <si>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</si>
  <si>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</si>
  <si>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</si>
  <si>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</si>
  <si>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</si>
  <si>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</si>
  <si>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</si>
  <si>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</si>
  <si>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</si>
  <si>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</si>
  <si>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</si>
  <si>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</si>
  <si>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</si>
  <si>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</si>
  <si>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</si>
  <si>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</si>
  <si>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</si>
  <si>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</si>
  <si>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</si>
  <si>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</si>
  <si>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</si>
  <si>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</si>
  <si>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</si>
  <si>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</si>
  <si>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</si>
  <si>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</si>
  <si>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</si>
  <si>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</si>
  <si>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</si>
  <si>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</si>
  <si>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</si>
  <si>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</si>
  <si>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</si>
  <si>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</si>
  <si>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</si>
  <si>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</si>
  <si>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</si>
  <si>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</si>
  <si>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</si>
  <si>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</si>
  <si>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</si>
  <si>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</si>
  <si>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</si>
  <si>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</si>
  <si>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</si>
  <si>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</si>
  <si>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</si>
  <si>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</si>
  <si>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</si>
  <si>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</si>
  <si>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</si>
  <si>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</si>
  <si>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</si>
  <si>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</si>
  <si>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</si>
  <si>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</si>
  <si>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</si>
  <si>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</si>
  <si>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</si>
  <si>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</si>
  <si>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</si>
  <si>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</si>
  <si>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</si>
  <si>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</si>
  <si>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</si>
  <si>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</si>
  <si>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</si>
  <si>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</si>
  <si>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</si>
  <si>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</si>
  <si>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</si>
  <si>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</si>
  <si>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</si>
  <si>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</si>
  <si>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</si>
  <si>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</si>
  <si>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</si>
  <si>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</si>
  <si>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</si>
  <si>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</si>
  <si>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</si>
  <si>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</si>
  <si>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</si>
  <si>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</si>
  <si>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</si>
  <si>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</si>
  <si>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</si>
  <si>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</si>
  <si>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</si>
  <si>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</si>
  <si>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</si>
  <si>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</si>
  <si>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</si>
  <si>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</si>
  <si>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</si>
  <si>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</si>
  <si>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</si>
  <si>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</si>
  <si>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</si>
  <si>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</si>
  <si>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</si>
  <si>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</si>
  <si>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</si>
  <si>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</si>
  <si>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</si>
  <si>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</si>
  <si>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</si>
  <si>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</si>
  <si>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</si>
  <si>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</si>
  <si>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</si>
  <si>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</si>
  <si>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</si>
  <si>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</si>
  <si>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</si>
  <si>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</si>
  <si>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</si>
  <si>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</si>
  <si>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</si>
  <si>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</si>
  <si>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</si>
  <si>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</si>
  <si>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</si>
  <si>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</si>
  <si>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</si>
  <si>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</si>
  <si>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</si>
  <si>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</si>
  <si>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</si>
  <si>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</si>
  <si>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</si>
  <si>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</si>
  <si>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</si>
  <si>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</si>
  <si>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</si>
  <si>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</si>
  <si>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</si>
  <si>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</si>
  <si>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</si>
  <si>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</si>
  <si>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</si>
  <si>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</si>
  <si>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</si>
  <si>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</si>
  <si>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</si>
  <si>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</si>
  <si>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</si>
  <si>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</si>
  <si>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</si>
  <si>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</si>
  <si>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</si>
  <si>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</si>
  <si>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</si>
  <si>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</si>
  <si>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</si>
  <si>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</si>
  <si>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</si>
  <si>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</si>
  <si>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</si>
  <si>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</si>
  <si>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</si>
  <si>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</si>
  <si>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</si>
  <si>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</si>
  <si>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</si>
  <si>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</si>
  <si>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</si>
  <si>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</si>
  <si>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</si>
  <si>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</si>
  <si>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</si>
  <si>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</si>
  <si>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</si>
  <si>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</si>
  <si>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</si>
  <si>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</si>
  <si>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</si>
  <si>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</si>
  <si>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</si>
  <si>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</si>
  <si>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</si>
  <si>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</si>
  <si>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</si>
  <si>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</si>
  <si>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</si>
  <si>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</si>
  <si>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</si>
  <si>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</si>
  <si>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</si>
  <si>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</si>
  <si>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</si>
  <si>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</si>
  <si>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</si>
  <si>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</si>
  <si>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</si>
  <si>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</si>
  <si>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</si>
  <si>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</si>
  <si>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</si>
  <si>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</si>
  <si>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</si>
  <si>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</si>
  <si>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</si>
  <si>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</si>
  <si>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</si>
  <si>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</si>
  <si>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</si>
  <si>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</si>
  <si>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</si>
  <si>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</si>
  <si>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</si>
  <si>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</si>
  <si>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</si>
  <si>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</si>
  <si>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</si>
  <si>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</si>
  <si>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</si>
  <si>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</si>
  <si>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</si>
  <si>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</si>
  <si>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</si>
  <si>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</si>
  <si>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</si>
  <si>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</si>
  <si>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</si>
  <si>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</si>
  <si>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</si>
  <si>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</si>
  <si>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</si>
  <si>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</si>
  <si>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</si>
  <si>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</si>
  <si>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</si>
  <si>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</si>
  <si>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</si>
  <si>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</si>
  <si>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</si>
  <si>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</si>
  <si>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</si>
  <si>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</si>
  <si>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</si>
  <si>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</si>
  <si>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</si>
  <si>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</si>
  <si>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</si>
  <si>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</si>
  <si>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</si>
  <si>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</si>
  <si>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</si>
  <si>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</si>
  <si>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</si>
  <si>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</si>
  <si>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</si>
  <si>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</si>
  <si>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</si>
  <si>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</si>
  <si>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</si>
  <si>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</si>
  <si>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</si>
  <si>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</si>
  <si>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</si>
  <si>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</si>
  <si>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</si>
  <si>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</si>
  <si>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</si>
  <si>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</si>
  <si>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</si>
  <si>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</si>
  <si>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</si>
  <si>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</si>
  <si>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</si>
  <si>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</si>
  <si>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</si>
  <si>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</si>
  <si>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</si>
  <si>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</si>
  <si>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</si>
  <si>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</si>
  <si>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</si>
  <si>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</si>
  <si>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</si>
  <si>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</si>
  <si>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</si>
  <si>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</si>
  <si>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</si>
  <si>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</si>
  <si>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</si>
  <si>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</si>
  <si>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</si>
  <si>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</si>
  <si>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</si>
  <si>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</si>
  <si>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</si>
  <si>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</si>
  <si>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</si>
  <si>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</si>
  <si>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</si>
  <si>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</si>
  <si>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</si>
  <si>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</si>
  <si>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</si>
  <si>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</si>
  <si>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</si>
  <si>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</si>
  <si>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</si>
  <si>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</si>
  <si>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</si>
  <si>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</si>
  <si>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</si>
  <si>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</si>
  <si>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</si>
  <si>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</si>
  <si>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</si>
  <si>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</si>
  <si>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</si>
  <si>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</si>
  <si>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</si>
  <si>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</si>
  <si>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</si>
  <si>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</si>
  <si>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</si>
  <si>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</si>
  <si>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</si>
  <si>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</si>
  <si>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</si>
  <si>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</si>
  <si>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</si>
  <si>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</si>
  <si>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</si>
  <si>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</si>
  <si>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</si>
  <si>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</si>
  <si>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</si>
  <si>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</si>
  <si>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</si>
  <si>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</si>
  <si>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</si>
  <si>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</si>
  <si>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</si>
  <si>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</si>
  <si>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</si>
  <si>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</si>
  <si>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</si>
  <si>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</si>
  <si>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</si>
  <si>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</si>
  <si>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</si>
  <si>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</si>
  <si>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</si>
  <si>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</si>
  <si>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</si>
  <si>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</si>
  <si>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</si>
  <si>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</si>
  <si>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</si>
  <si>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</si>
  <si>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</si>
  <si>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</si>
  <si>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</si>
  <si>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</si>
  <si>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</si>
  <si>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</si>
  <si>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</si>
  <si>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</si>
  <si>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</si>
  <si>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</si>
  <si>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</si>
  <si>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</si>
  <si>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</si>
  <si>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</si>
  <si>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</si>
  <si>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</si>
  <si>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</si>
  <si>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</si>
  <si>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</si>
  <si>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</si>
  <si>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</si>
  <si>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</si>
  <si>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</si>
  <si>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</si>
  <si>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</si>
  <si>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</si>
  <si>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</si>
  <si>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</si>
  <si>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</si>
  <si>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</si>
  <si>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</si>
  <si>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</si>
  <si>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</si>
  <si>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</si>
  <si>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</si>
  <si>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</si>
  <si>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</si>
  <si>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</si>
  <si>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</si>
  <si>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</si>
  <si>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</si>
  <si>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</si>
  <si>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</si>
  <si>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</si>
  <si>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</si>
  <si>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</si>
  <si>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</si>
  <si>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</si>
  <si>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</si>
  <si>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</si>
  <si>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</si>
  <si>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</si>
  <si>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</si>
  <si>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</si>
  <si>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</si>
  <si>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</si>
  <si>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</si>
  <si>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</si>
  <si>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</si>
  <si>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</si>
  <si>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</si>
  <si>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</si>
  <si>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</si>
  <si>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</si>
  <si>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</si>
  <si>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</si>
  <si>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</si>
  <si>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</si>
  <si>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</si>
  <si>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</si>
  <si>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</si>
  <si>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</si>
  <si>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</si>
  <si>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</si>
  <si>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</si>
  <si>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</si>
  <si>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</si>
  <si>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</si>
  <si>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</si>
  <si>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</si>
  <si>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</si>
  <si>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</si>
  <si>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</si>
  <si>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</si>
  <si>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</si>
  <si>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</si>
  <si>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</si>
  <si>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</si>
  <si>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</si>
  <si>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</si>
  <si>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</si>
  <si>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</si>
  <si>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</si>
  <si>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</si>
  <si>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</si>
  <si>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</si>
  <si>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</si>
  <si>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</si>
  <si>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</si>
  <si>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</si>
  <si>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</si>
  <si>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</si>
  <si>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</si>
  <si>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</si>
  <si>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</si>
  <si>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</si>
  <si>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</si>
  <si>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</si>
  <si>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</si>
  <si>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</si>
  <si>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</si>
  <si>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</si>
  <si>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</si>
  <si>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</si>
  <si>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</si>
  <si>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</si>
  <si>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</si>
  <si>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</si>
  <si>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</si>
  <si>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</si>
  <si>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</si>
  <si>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</si>
  <si>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</si>
  <si>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</si>
  <si>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</si>
  <si>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</si>
  <si>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</si>
  <si>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</si>
  <si>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</si>
  <si>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</si>
  <si>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</si>
  <si>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</si>
  <si>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</si>
  <si>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</si>
  <si>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</si>
  <si>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</si>
  <si>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</si>
  <si>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</si>
  <si>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</si>
  <si>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</si>
  <si>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</si>
  <si>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</si>
  <si>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</si>
  <si>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</si>
  <si>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</si>
  <si>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</si>
  <si>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</si>
  <si>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</si>
  <si>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</si>
  <si>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</si>
  <si>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</si>
  <si>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</si>
  <si>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</si>
  <si>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</si>
  <si>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</si>
  <si>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</si>
  <si>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</si>
  <si>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</si>
  <si>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</si>
  <si>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</si>
  <si>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</si>
  <si>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</si>
  <si>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</si>
  <si>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</si>
  <si>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</si>
  <si>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</si>
  <si>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</si>
  <si>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</si>
  <si>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</si>
  <si>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</si>
  <si>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</si>
  <si>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</si>
  <si>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</si>
  <si>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</si>
  <si>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</si>
  <si>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</si>
  <si>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</si>
  <si>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</si>
  <si>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</si>
  <si>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</si>
  <si>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</si>
  <si>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</si>
  <si>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</si>
  <si>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</si>
  <si>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</si>
  <si>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</si>
  <si>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</si>
  <si>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</si>
  <si>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</si>
  <si>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</si>
  <si>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</si>
  <si>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</si>
  <si>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</si>
  <si>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</si>
  <si>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</si>
  <si>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</si>
  <si>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</si>
  <si>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</si>
  <si>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</si>
  <si>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</si>
  <si>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</si>
  <si>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</si>
  <si>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</si>
  <si>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</si>
  <si>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</si>
  <si>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</si>
  <si>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</si>
  <si>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</si>
  <si>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</si>
  <si>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</si>
  <si>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</si>
  <si>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</si>
  <si>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</si>
  <si>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</si>
  <si>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</si>
  <si>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</si>
  <si>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</si>
  <si>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</si>
  <si>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</si>
  <si>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</si>
  <si>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</si>
  <si>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</si>
  <si>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</si>
  <si>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</si>
  <si>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</si>
  <si>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</si>
  <si>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</si>
  <si>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</si>
  <si>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</si>
  <si>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</si>
  <si>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</si>
  <si>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</si>
  <si>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</si>
  <si>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</si>
  <si>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</si>
  <si>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</si>
  <si>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</si>
  <si>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</si>
  <si>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</si>
  <si>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</si>
  <si>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</si>
  <si>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</si>
  <si>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</si>
  <si>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</si>
  <si>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</si>
  <si>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</si>
  <si>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</si>
  <si>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</si>
  <si>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</si>
  <si>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</si>
  <si>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</si>
  <si>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</si>
  <si>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</si>
  <si>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</si>
  <si>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</si>
  <si>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</si>
  <si>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</si>
  <si>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</si>
  <si>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</si>
  <si>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</si>
  <si>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</si>
  <si>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</si>
  <si>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</si>
  <si>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</si>
  <si>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</si>
  <si>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</si>
  <si>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</si>
  <si>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</si>
  <si>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</si>
  <si>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</si>
  <si>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</si>
  <si>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</si>
  <si>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</si>
  <si>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</si>
  <si>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</si>
  <si>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</si>
  <si>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</si>
  <si>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</si>
  <si>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</si>
  <si>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</si>
  <si>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</si>
  <si>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</si>
  <si>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</si>
  <si>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</si>
  <si>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</si>
  <si>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</si>
  <si>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</si>
  <si>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</si>
  <si>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</si>
  <si>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</si>
  <si>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</si>
  <si>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</si>
  <si>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</si>
  <si>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</si>
  <si>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</si>
  <si>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</si>
  <si>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</si>
  <si>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</si>
  <si>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</si>
  <si>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</si>
  <si>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</si>
  <si>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</si>
  <si>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</si>
  <si>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</si>
  <si>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</si>
  <si>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</si>
  <si>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</si>
  <si>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</si>
  <si>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</si>
  <si>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</si>
  <si>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</si>
  <si>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</si>
  <si>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</si>
  <si>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</si>
  <si>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</si>
  <si>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</si>
  <si>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</si>
  <si>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</si>
  <si>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</si>
  <si>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</si>
  <si>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</si>
  <si>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</si>
  <si>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</si>
  <si>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</si>
  <si>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</si>
  <si>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</si>
  <si>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</si>
  <si>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</si>
  <si>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</si>
  <si>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</si>
  <si>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</si>
  <si>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</si>
  <si>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</si>
  <si>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</si>
  <si>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</si>
  <si>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</si>
  <si>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</si>
  <si>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</si>
  <si>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</si>
  <si>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</si>
  <si>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</si>
  <si>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</si>
  <si>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</si>
  <si>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</si>
  <si>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</si>
  <si>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</si>
  <si>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</si>
  <si>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</si>
  <si>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</si>
  <si>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</si>
  <si>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</si>
  <si>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</si>
  <si>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</si>
  <si>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</si>
  <si>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</si>
  <si>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</si>
  <si>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</si>
  <si>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</si>
  <si>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</si>
  <si>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</si>
  <si>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</si>
  <si>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</si>
  <si>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</si>
  <si>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</si>
  <si>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</si>
  <si>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</si>
  <si>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</si>
  <si>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</si>
  <si>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</si>
  <si>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</si>
  <si>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</si>
  <si>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</si>
  <si>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</si>
  <si>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</si>
  <si>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</si>
  <si>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</si>
  <si>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</si>
  <si>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</si>
  <si>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</si>
  <si>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</si>
  <si>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</si>
  <si>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</si>
  <si>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</si>
  <si>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</si>
  <si>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</si>
  <si>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</si>
  <si>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</si>
  <si>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</si>
  <si>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</si>
  <si>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</si>
  <si>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</si>
  <si>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</si>
  <si>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</si>
  <si>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</si>
  <si>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</si>
  <si>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</si>
  <si>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</si>
  <si>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</si>
  <si>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</si>
  <si>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</si>
  <si>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</si>
  <si>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</si>
  <si>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</si>
  <si>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</si>
  <si>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</si>
  <si>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</si>
  <si>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</si>
  <si>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</si>
  <si>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</si>
  <si>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</si>
  <si>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</si>
  <si>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</si>
  <si>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</si>
  <si>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</si>
  <si>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</si>
  <si>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</si>
  <si>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</si>
  <si>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</si>
  <si>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</si>
  <si>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</si>
  <si>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</si>
  <si>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</si>
  <si>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</si>
  <si>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</si>
  <si>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</si>
  <si>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</si>
  <si>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</si>
  <si>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</si>
  <si>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</si>
  <si>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</si>
  <si>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</si>
  <si>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</si>
  <si>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</si>
  <si>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</si>
  <si>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</si>
  <si>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</si>
  <si>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</si>
  <si>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</si>
  <si>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</si>
  <si>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</si>
  <si>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</si>
  <si>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</si>
  <si>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</si>
  <si>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</si>
  <si>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</si>
  <si>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</si>
  <si>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</si>
  <si>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</si>
  <si>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</si>
  <si>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</si>
  <si>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</si>
  <si>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</si>
  <si>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</si>
  <si>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</si>
  <si>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</si>
  <si>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</si>
  <si>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</si>
  <si>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</si>
  <si>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</si>
  <si>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</si>
  <si>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</si>
  <si>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</si>
  <si>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</si>
  <si>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</si>
  <si>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</si>
  <si>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</si>
  <si>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</si>
  <si>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</si>
  <si>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</si>
  <si>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</si>
  <si>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</si>
  <si>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</si>
  <si>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</si>
  <si>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</si>
  <si>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</si>
  <si>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</si>
  <si>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</si>
  <si>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</si>
  <si>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</si>
  <si>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</si>
  <si>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</si>
  <si>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</si>
  <si>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</si>
  <si>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</si>
  <si>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</si>
  <si>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</si>
  <si>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</si>
  <si>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</si>
  <si>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</si>
  <si>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</si>
  <si>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</si>
  <si>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</si>
  <si>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</si>
  <si>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</si>
  <si>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</si>
  <si>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</si>
  <si>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</si>
  <si>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</si>
  <si>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</si>
  <si>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</si>
  <si>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</si>
  <si>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</si>
  <si>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</si>
  <si>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</si>
  <si>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</si>
  <si>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</si>
  <si>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</si>
  <si>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</si>
  <si>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</si>
  <si>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</si>
  <si>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</si>
  <si>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</si>
  <si>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</si>
  <si>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</si>
  <si>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</si>
  <si>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</si>
  <si>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</si>
  <si>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</si>
  <si>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</si>
  <si>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</si>
  <si>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</si>
  <si>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</si>
  <si>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</si>
  <si>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</si>
  <si>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</si>
  <si>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</si>
  <si>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</si>
  <si>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</si>
  <si>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</si>
  <si>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</si>
  <si>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</si>
  <si>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</si>
  <si>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</si>
  <si>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</si>
  <si>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</si>
  <si>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</si>
  <si>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</si>
  <si>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</si>
  <si>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</si>
  <si>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</si>
  <si>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</si>
  <si>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</si>
  <si>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</si>
  <si>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</si>
  <si>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</si>
  <si>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</si>
  <si>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</si>
  <si>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</si>
  <si>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</si>
  <si>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</si>
  <si>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</si>
  <si>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</si>
  <si>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</si>
  <si>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</si>
  <si>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</si>
  <si>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</si>
  <si>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</si>
  <si>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</si>
  <si>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</si>
  <si>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</si>
  <si>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</si>
  <si>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</si>
  <si>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</si>
  <si>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</si>
  <si>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</si>
  <si>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</si>
  <si>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</si>
  <si>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</si>
  <si>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</si>
  <si>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</si>
  <si>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</si>
  <si>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</si>
  <si>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</si>
  <si>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</si>
  <si>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</si>
  <si>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</si>
  <si>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</si>
  <si>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</si>
  <si>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</si>
  <si>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</si>
  <si>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</si>
  <si>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</si>
  <si>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</si>
  <si>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</si>
  <si>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</si>
  <si>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</si>
  <si>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</si>
  <si>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</si>
  <si>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</si>
  <si>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</si>
  <si>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</si>
  <si>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</si>
  <si>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</si>
  <si>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</si>
  <si>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</si>
  <si>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</si>
  <si>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</si>
  <si>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</si>
  <si>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</si>
  <si>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</si>
  <si>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</si>
  <si>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</si>
  <si>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</si>
  <si>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</si>
  <si>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</si>
  <si>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</si>
  <si>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</si>
  <si>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</si>
  <si>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</si>
  <si>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</si>
  <si>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</si>
  <si>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</si>
  <si>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</si>
  <si>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</si>
  <si>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</si>
  <si>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</si>
  <si>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</si>
  <si>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</si>
  <si>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</si>
  <si>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</si>
  <si>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</si>
  <si>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</si>
  <si>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</si>
  <si>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</si>
  <si>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</si>
  <si>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</si>
  <si>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</si>
  <si>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</si>
  <si>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</si>
  <si>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</si>
  <si>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</si>
  <si>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</si>
  <si>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</si>
  <si>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</si>
  <si>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</si>
  <si>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</si>
  <si>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</si>
  <si>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</si>
  <si>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</si>
  <si>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</si>
  <si>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</si>
  <si>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</si>
  <si>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</si>
  <si>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</si>
  <si>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</si>
  <si>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</si>
  <si>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</si>
  <si>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</si>
  <si>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</si>
  <si>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</si>
  <si>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</si>
  <si>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</si>
  <si>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</si>
  <si>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</si>
  <si>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</si>
  <si>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</si>
  <si>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</si>
  <si>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</si>
  <si>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</si>
  <si>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</si>
  <si>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</si>
  <si>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</si>
  <si>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</si>
  <si>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</si>
  <si>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</si>
  <si>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</si>
  <si>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</si>
  <si>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</si>
  <si>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</si>
  <si>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</si>
  <si>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</si>
  <si>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</si>
  <si>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</si>
  <si>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</si>
  <si>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</si>
  <si>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</si>
  <si>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</si>
  <si>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</si>
  <si>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</si>
  <si>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</si>
  <si>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</si>
  <si>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</si>
  <si>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</si>
  <si>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</si>
  <si>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</si>
  <si>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</si>
  <si>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</si>
  <si>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</si>
  <si>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</si>
  <si>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</si>
  <si>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</si>
  <si>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</si>
  <si>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</si>
  <si>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</si>
  <si>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</si>
  <si>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</si>
  <si>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</si>
  <si>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</si>
  <si>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</si>
  <si>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</si>
  <si>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</si>
  <si>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</si>
  <si>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</si>
  <si>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</si>
  <si>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</si>
  <si>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</si>
  <si>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</si>
  <si>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</si>
  <si>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</si>
  <si>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</si>
  <si>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</si>
  <si>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</si>
  <si>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</si>
  <si>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</si>
  <si>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</si>
  <si>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</si>
  <si>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</si>
  <si>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</si>
  <si>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</si>
  <si>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</si>
  <si>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</si>
  <si>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</si>
  <si>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</si>
  <si>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</si>
  <si>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</si>
  <si>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</si>
  <si>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</si>
  <si>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</si>
  <si>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</si>
  <si>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</si>
  <si>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</si>
  <si>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</si>
  <si>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</si>
  <si>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</si>
  <si>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</si>
  <si>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</si>
  <si>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</si>
  <si>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</si>
  <si>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</si>
  <si>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</si>
  <si>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</si>
  <si>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</si>
  <si>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</si>
  <si>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</si>
  <si>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</si>
  <si>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</si>
  <si>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</si>
  <si>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</si>
  <si>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</si>
  <si>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</si>
  <si>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</si>
  <si>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</si>
  <si>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</si>
  <si>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</si>
  <si>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</si>
  <si>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</si>
  <si>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</si>
  <si>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</si>
  <si>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</si>
  <si>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</si>
  <si>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</si>
  <si>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</si>
  <si>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</si>
  <si>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</si>
  <si>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</si>
  <si>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</si>
  <si>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</si>
  <si>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</si>
  <si>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</si>
  <si>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</si>
  <si>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</si>
  <si>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</si>
  <si>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</si>
  <si>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</si>
  <si>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</si>
  <si>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</si>
  <si>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</si>
  <si>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</si>
  <si>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</si>
  <si>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</si>
  <si>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</si>
  <si>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</si>
  <si>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</si>
  <si>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</si>
  <si>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</si>
  <si>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</si>
  <si>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</si>
  <si>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</si>
  <si>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</si>
  <si>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</si>
  <si>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</si>
  <si>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</si>
  <si>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</si>
  <si>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</si>
  <si>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</si>
  <si>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</si>
  <si>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</si>
  <si>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</si>
  <si>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</si>
  <si>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</si>
  <si>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</si>
  <si>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</si>
  <si>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</si>
  <si>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</si>
  <si>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</si>
  <si>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</si>
  <si>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</si>
  <si>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</si>
  <si>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</si>
  <si>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</si>
  <si>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</si>
  <si>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</si>
  <si>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</si>
  <si>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</si>
  <si>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</si>
  <si>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</si>
  <si>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</si>
  <si>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</si>
  <si>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</si>
  <si>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</si>
  <si>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</si>
  <si>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</si>
  <si>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</si>
  <si>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</si>
  <si>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</si>
  <si>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</si>
  <si>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</si>
  <si>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</si>
  <si>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</si>
  <si>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</si>
  <si>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</si>
  <si>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</si>
  <si>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</si>
  <si>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</si>
  <si>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</si>
  <si>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</si>
  <si>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</si>
  <si>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</si>
  <si>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</si>
  <si>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</si>
  <si>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</si>
  <si>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</si>
  <si>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</si>
  <si>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</si>
  <si>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</si>
  <si>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</si>
  <si>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</si>
  <si>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</si>
  <si>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</si>
  <si>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</si>
  <si>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</si>
  <si>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</si>
  <si>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</si>
  <si>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</si>
  <si>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</si>
  <si>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</si>
  <si>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</si>
  <si>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</si>
  <si>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</si>
  <si>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</si>
  <si>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</si>
  <si>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</si>
  <si>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</si>
  <si>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</si>
  <si>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</si>
  <si>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</si>
  <si>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</si>
  <si>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</si>
  <si>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</si>
  <si>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</si>
  <si>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</si>
  <si>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</si>
  <si>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</si>
  <si>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</si>
  <si>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</si>
  <si>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</si>
  <si>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</si>
  <si>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</si>
  <si>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</si>
  <si>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</si>
  <si>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</si>
  <si>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</si>
  <si>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</si>
  <si>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</si>
  <si>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</si>
  <si>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</si>
  <si>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</si>
  <si>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</si>
  <si>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</si>
  <si>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</si>
  <si>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</si>
  <si>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</si>
  <si>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</si>
  <si>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</si>
  <si>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</si>
  <si>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</si>
  <si>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</si>
  <si>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</si>
  <si>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</si>
  <si>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</si>
  <si>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</si>
  <si>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</si>
  <si>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</si>
  <si>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</si>
  <si>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</si>
  <si>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</si>
  <si>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</si>
  <si>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</si>
  <si>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</si>
  <si>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</si>
  <si>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</si>
  <si>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</si>
  <si>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</si>
  <si>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</si>
  <si>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</si>
  <si>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</si>
  <si>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</si>
  <si>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</si>
  <si>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</si>
  <si>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</si>
  <si>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</si>
  <si>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</si>
  <si>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</si>
  <si>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</si>
  <si>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</si>
  <si>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</si>
  <si>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</si>
  <si>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</si>
  <si>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</si>
  <si>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</si>
  <si>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</si>
  <si>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</si>
  <si>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</si>
  <si>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</si>
  <si>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</si>
  <si>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</si>
  <si>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</si>
  <si>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</si>
  <si>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</si>
  <si>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</si>
  <si>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</si>
  <si>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</si>
  <si>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</si>
  <si>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</si>
  <si>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</si>
  <si>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</si>
  <si>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</si>
  <si>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</si>
  <si>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</si>
  <si>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</si>
  <si>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</si>
  <si>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</si>
  <si>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</si>
  <si>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</si>
  <si>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</si>
  <si>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</si>
  <si>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</si>
  <si>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</si>
  <si>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</si>
  <si>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</si>
  <si>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</si>
  <si>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</si>
  <si>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</si>
  <si>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</si>
  <si>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</si>
  <si>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</si>
  <si>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</si>
  <si>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</si>
  <si>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</si>
  <si>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</si>
  <si>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</si>
  <si>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</si>
  <si>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</si>
  <si>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</si>
  <si>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</si>
  <si>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</si>
  <si>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</si>
  <si>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</si>
  <si>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</si>
  <si>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</si>
  <si>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</si>
  <si>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</si>
  <si>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</si>
  <si>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</si>
  <si>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</si>
  <si>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</si>
  <si>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</si>
  <si>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</si>
  <si>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</si>
  <si>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</si>
  <si>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</si>
  <si>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</si>
  <si>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</si>
  <si>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</si>
  <si>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</si>
  <si>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</si>
  <si>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</si>
  <si>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</si>
  <si>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</si>
  <si>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</si>
  <si>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</si>
  <si>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</si>
  <si>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</si>
  <si>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</si>
  <si>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</si>
  <si>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</si>
  <si>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</si>
  <si>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</si>
  <si>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</si>
  <si>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</si>
  <si>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</si>
  <si>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</si>
  <si>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</si>
  <si>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</si>
  <si>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</si>
  <si>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</si>
  <si>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</si>
  <si>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</si>
  <si>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</si>
  <si>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</si>
  <si>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</si>
  <si>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</si>
  <si>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</si>
  <si>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</si>
  <si>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</si>
  <si>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</si>
  <si>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</si>
  <si>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</si>
  <si>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</si>
  <si>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</si>
  <si>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</si>
  <si>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</si>
  <si>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</si>
  <si>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</si>
  <si>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</si>
  <si>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</si>
  <si>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</si>
  <si>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</si>
  <si>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</si>
  <si>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</si>
  <si>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</si>
  <si>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</si>
  <si>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</si>
  <si>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</si>
  <si>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</si>
  <si>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</si>
  <si>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</si>
  <si>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</si>
  <si>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</si>
  <si>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</si>
  <si>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</si>
  <si>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</si>
  <si>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</si>
  <si>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</si>
  <si>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</si>
  <si>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</si>
  <si>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</si>
  <si>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</si>
  <si>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</si>
  <si>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</si>
  <si>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</si>
  <si>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</si>
  <si>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</si>
  <si>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</si>
  <si>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</si>
  <si>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</si>
  <si>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</si>
  <si>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</si>
  <si>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</si>
  <si>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</si>
  <si>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</si>
  <si>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</si>
  <si>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</si>
  <si>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</si>
  <si>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</si>
  <si>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</si>
  <si>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</si>
  <si>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</si>
  <si>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</si>
  <si>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</si>
  <si>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</si>
  <si>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</si>
  <si>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</si>
  <si>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</si>
  <si>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</si>
  <si>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</si>
  <si>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</si>
  <si>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</si>
  <si>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</si>
  <si>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</si>
  <si>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</si>
  <si>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</si>
  <si>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</si>
  <si>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</si>
  <si>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</si>
  <si>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</si>
  <si>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</si>
  <si>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</si>
  <si>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</si>
  <si>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</si>
  <si>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</si>
  <si>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</si>
  <si>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</si>
  <si>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</si>
  <si>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</si>
  <si>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</si>
  <si>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</si>
  <si>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</si>
  <si>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</si>
  <si>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</si>
  <si>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</si>
  <si>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</si>
  <si>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</si>
  <si>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</si>
  <si>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</si>
  <si>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</si>
  <si>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</si>
  <si>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</si>
  <si>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</si>
  <si>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</si>
  <si>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</si>
  <si>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</si>
  <si>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</si>
  <si>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</si>
  <si>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</si>
  <si>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</si>
  <si>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</si>
  <si>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</si>
  <si>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</si>
  <si>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</si>
  <si>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</si>
  <si>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</si>
  <si>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</si>
  <si>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</si>
  <si>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</si>
  <si>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</si>
  <si>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</si>
  <si>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</si>
  <si>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</si>
  <si>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</si>
  <si>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</si>
  <si>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</si>
  <si>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</si>
  <si>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</si>
  <si>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</si>
  <si>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</si>
  <si>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</si>
  <si>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</si>
  <si>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</si>
  <si>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</si>
  <si>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</si>
  <si>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</si>
  <si>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</si>
  <si>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</si>
  <si>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</si>
  <si>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</si>
  <si>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</si>
  <si>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</si>
  <si>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</si>
  <si>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</si>
  <si>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</si>
  <si>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</si>
  <si>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</si>
  <si>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</si>
  <si>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</si>
  <si>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</si>
  <si>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</si>
  <si>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</si>
  <si>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</si>
  <si>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</si>
  <si>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</si>
  <si>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</si>
  <si>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</si>
  <si>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</si>
  <si>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</si>
  <si>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</si>
  <si>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</si>
  <si>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</si>
  <si>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</si>
  <si>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</si>
  <si>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</si>
  <si>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</si>
  <si>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</si>
  <si>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</si>
  <si>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</si>
  <si>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</si>
  <si>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</si>
  <si>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</si>
  <si>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</si>
  <si>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</si>
  <si>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</si>
  <si>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</si>
  <si>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</si>
  <si>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</si>
  <si>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</si>
  <si>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</si>
  <si>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</si>
  <si>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</si>
  <si>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</si>
  <si>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</si>
  <si>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</si>
  <si>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</si>
  <si>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</si>
  <si>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</si>
  <si>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</si>
  <si>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</si>
  <si>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</si>
  <si>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</si>
  <si>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</si>
  <si>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</si>
  <si>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</si>
  <si>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</si>
  <si>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</si>
  <si>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</si>
  <si>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</si>
  <si>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</si>
  <si>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</si>
  <si>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</si>
  <si>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</si>
  <si>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</si>
  <si>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</si>
  <si>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</si>
  <si>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</si>
  <si>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</si>
  <si>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</si>
  <si>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</si>
  <si>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</si>
  <si>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</si>
  <si>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</si>
  <si>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</si>
  <si>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</si>
  <si>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</si>
  <si>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</si>
  <si>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</si>
  <si>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</si>
  <si>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</si>
  <si>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</si>
  <si>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</si>
  <si>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</si>
  <si>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</si>
  <si>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</si>
  <si>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</si>
  <si>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</si>
  <si>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</si>
  <si>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</si>
  <si>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</si>
  <si>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</si>
  <si>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</si>
  <si>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</si>
  <si>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</si>
  <si>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</si>
  <si>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</si>
  <si>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</si>
  <si>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</si>
  <si>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</si>
  <si>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</si>
  <si>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</si>
  <si>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</si>
  <si>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</si>
  <si>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</si>
  <si>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</si>
  <si>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</si>
  <si>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</si>
  <si>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</si>
  <si>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</si>
  <si>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</si>
  <si>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</si>
  <si>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</si>
  <si>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</si>
  <si>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</si>
  <si>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</si>
  <si>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</si>
  <si>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</si>
  <si>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</si>
  <si>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</si>
  <si>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</si>
  <si>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</si>
  <si>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</si>
  <si>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</si>
  <si>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</si>
  <si>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</si>
  <si>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</si>
  <si>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</si>
  <si>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</si>
  <si>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</si>
  <si>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</si>
  <si>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</si>
  <si>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</si>
  <si>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</si>
  <si>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</si>
  <si>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</si>
  <si>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</si>
  <si>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</si>
  <si>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</si>
  <si>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</si>
  <si>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</si>
  <si>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</si>
  <si>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</si>
  <si>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</si>
  <si>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</si>
  <si>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</si>
  <si>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</si>
  <si>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</si>
  <si>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</si>
  <si>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</si>
  <si>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</si>
  <si>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</si>
  <si>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</si>
  <si>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</si>
  <si>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</si>
  <si>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</si>
  <si>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</si>
  <si>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</si>
  <si>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</si>
  <si>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</si>
  <si>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</si>
  <si>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</si>
  <si>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</si>
  <si>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</si>
  <si>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</si>
  <si>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</si>
  <si>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</si>
  <si>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</si>
  <si>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</si>
  <si>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</si>
  <si>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</si>
  <si>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</si>
  <si>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</si>
  <si>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</si>
  <si>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</si>
  <si>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</si>
  <si>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</si>
  <si>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</si>
  <si>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</si>
  <si>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</si>
  <si>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</si>
  <si>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</si>
  <si>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</si>
  <si>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</si>
  <si>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</si>
  <si>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</si>
  <si>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</si>
  <si>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</si>
  <si>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</si>
  <si>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</si>
  <si>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</si>
  <si>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</si>
  <si>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</si>
  <si>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</si>
  <si>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</si>
  <si>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</si>
  <si>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</si>
  <si>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</si>
  <si>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</si>
  <si>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</si>
  <si>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</si>
  <si>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</si>
  <si>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</si>
  <si>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</si>
  <si>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</si>
  <si>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</si>
  <si>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</si>
  <si>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</si>
  <si>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</si>
  <si>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</si>
  <si>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</si>
  <si>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</si>
  <si>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</si>
  <si>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</si>
  <si>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</si>
  <si>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</si>
  <si>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</si>
  <si>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</si>
  <si>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</si>
  <si>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</si>
  <si>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</si>
  <si>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</si>
  <si>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</si>
  <si>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</si>
  <si>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</si>
  <si>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</si>
  <si>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</si>
  <si>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</si>
  <si>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</si>
  <si>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</si>
  <si>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</si>
  <si>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</si>
  <si>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</si>
  <si>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</si>
  <si>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</si>
  <si>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</si>
  <si>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</si>
  <si>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</si>
  <si>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</si>
  <si>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</si>
  <si>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</si>
  <si>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</si>
  <si>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</si>
  <si>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</si>
  <si>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</si>
  <si>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</si>
  <si>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</si>
  <si>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</si>
  <si>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</si>
  <si>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</si>
  <si>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</si>
  <si>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</si>
  <si>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</si>
  <si>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</si>
  <si>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</si>
  <si>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</si>
  <si>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</si>
  <si>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</si>
  <si>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</si>
  <si>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</si>
  <si>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</si>
  <si>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</si>
  <si>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</si>
  <si>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</si>
  <si>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</si>
  <si>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</si>
  <si>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</si>
  <si>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</si>
  <si>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</si>
  <si>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</si>
  <si>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</si>
  <si>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</si>
  <si>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</si>
  <si>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</si>
  <si>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</si>
  <si>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</si>
  <si>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</si>
  <si>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</si>
  <si>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</si>
  <si>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</si>
  <si>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</si>
  <si>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</si>
  <si>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</si>
  <si>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</si>
  <si>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</si>
  <si>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</si>
  <si>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</si>
  <si>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</si>
  <si>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</si>
  <si>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</si>
  <si>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</si>
  <si>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</si>
  <si>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</si>
  <si>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</si>
  <si>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</si>
  <si>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</si>
  <si>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</si>
  <si>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</si>
  <si>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</si>
  <si>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</si>
  <si>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</si>
  <si>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</si>
  <si>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</si>
  <si>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</si>
  <si>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</si>
  <si>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</si>
  <si>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</si>
  <si>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</si>
  <si>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</si>
  <si>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</si>
  <si>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</si>
  <si>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</si>
  <si>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</si>
  <si>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</si>
  <si>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</si>
  <si>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</si>
  <si>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</si>
  <si>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</si>
  <si>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</si>
  <si>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</si>
  <si>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</si>
  <si>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</si>
  <si>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</si>
  <si>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</si>
  <si>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</si>
  <si>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</si>
  <si>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</si>
  <si>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</si>
  <si>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</si>
  <si>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</si>
  <si>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</si>
  <si>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</si>
  <si>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</si>
  <si>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</si>
  <si>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</si>
  <si>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</si>
  <si>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</si>
  <si>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</si>
  <si>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</si>
  <si>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</si>
  <si>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</si>
  <si>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</si>
  <si>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</si>
  <si>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</si>
  <si>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</si>
  <si>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</si>
  <si>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</si>
  <si>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</si>
  <si>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</si>
  <si>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</si>
  <si>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</si>
  <si>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</si>
  <si>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</si>
  <si>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</si>
  <si>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</si>
  <si>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</si>
  <si>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</si>
  <si>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</si>
  <si>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</si>
  <si>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</si>
  <si>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</si>
  <si>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</si>
  <si>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</si>
  <si>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</si>
  <si>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</si>
  <si>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</si>
  <si>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</si>
  <si>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</si>
  <si>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</si>
  <si>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</si>
  <si>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</si>
  <si>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</si>
  <si>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</si>
  <si>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</si>
  <si>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</si>
  <si>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</si>
  <si>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</si>
  <si>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</si>
  <si>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</si>
  <si>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</si>
  <si>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</si>
  <si>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</si>
  <si>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</si>
  <si>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</si>
  <si>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</si>
  <si>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</si>
  <si>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</si>
  <si>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</si>
  <si>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</si>
  <si>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</si>
  <si>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</si>
  <si>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</si>
  <si>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</si>
  <si>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</si>
  <si>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</si>
  <si>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</si>
  <si>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</si>
  <si>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</si>
  <si>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</si>
  <si>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</si>
  <si>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</si>
  <si>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</si>
  <si>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</si>
  <si>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</si>
  <si>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</si>
  <si>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</si>
  <si>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</si>
  <si>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</si>
  <si>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</si>
  <si>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</si>
  <si>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</si>
  <si>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</si>
  <si>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</si>
  <si>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</si>
  <si>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</si>
  <si>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</si>
  <si>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</si>
  <si>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</si>
  <si>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</si>
  <si>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</si>
  <si>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</si>
  <si>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</si>
  <si>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</si>
  <si>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</si>
  <si>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</si>
  <si>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</si>
  <si>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</si>
  <si>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</si>
  <si>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</si>
  <si>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</si>
  <si>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</si>
  <si>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</si>
  <si>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</si>
  <si>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</si>
  <si>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</si>
  <si>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</si>
  <si>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</si>
  <si>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</si>
  <si>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</si>
  <si>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</si>
  <si>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</si>
  <si>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</si>
  <si>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</si>
  <si>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</si>
  <si>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</si>
  <si>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</si>
  <si>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</si>
  <si>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</si>
  <si>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</si>
  <si>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</si>
  <si>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</si>
  <si>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</si>
  <si>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</si>
  <si>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</si>
  <si>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</si>
  <si>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</si>
  <si>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</si>
  <si>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</si>
  <si>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</si>
  <si>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</si>
  <si>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</si>
  <si>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</si>
  <si>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</si>
  <si>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</si>
  <si>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</si>
  <si>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</si>
  <si>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</si>
  <si>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</si>
  <si>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</si>
  <si>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</si>
  <si>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</si>
  <si>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</si>
  <si>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</si>
  <si>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</si>
  <si>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</si>
  <si>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</si>
  <si>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</si>
  <si>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</si>
  <si>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</si>
  <si>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</si>
  <si>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</si>
  <si>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</si>
  <si>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</si>
  <si>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</si>
  <si>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</si>
  <si>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</si>
  <si>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</si>
  <si>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</si>
  <si>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</si>
  <si>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</si>
  <si>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</si>
  <si>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</si>
  <si>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</si>
  <si>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</si>
  <si>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</si>
  <si>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</si>
  <si>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</si>
  <si>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</si>
  <si>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</si>
  <si>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</si>
  <si>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</si>
  <si>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</si>
  <si>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</si>
  <si>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</si>
  <si>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</si>
  <si>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</si>
  <si>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</si>
  <si>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</si>
  <si>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</si>
  <si>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</si>
  <si>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</si>
  <si>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</si>
  <si>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</si>
  <si>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</si>
  <si>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</si>
  <si>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</si>
  <si>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</si>
  <si>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</si>
  <si>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</si>
  <si>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</si>
  <si>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</si>
  <si>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</si>
  <si>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</si>
  <si>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</si>
  <si>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</si>
  <si>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</si>
  <si>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</si>
  <si>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</si>
  <si>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</si>
  <si>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</si>
  <si>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</si>
  <si>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</si>
  <si>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</si>
  <si>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</si>
  <si>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</si>
  <si>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</si>
  <si>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</si>
  <si>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</si>
  <si>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</si>
  <si>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</si>
  <si>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</si>
  <si>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</si>
  <si>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</si>
  <si>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</si>
  <si>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</si>
  <si>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</si>
  <si>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</si>
  <si>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</si>
  <si>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</si>
  <si>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</si>
  <si>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</si>
  <si>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</si>
  <si>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</si>
  <si>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</si>
  <si>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</si>
  <si>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</si>
  <si>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</si>
  <si>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</si>
  <si>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</si>
  <si>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</si>
  <si>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</si>
  <si>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</si>
  <si>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</si>
  <si>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</si>
  <si>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</si>
  <si>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</si>
  <si>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</si>
  <si>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</si>
  <si>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</si>
  <si>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</si>
  <si>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</si>
  <si>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</si>
  <si>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</si>
  <si>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</si>
  <si>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</si>
  <si>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</si>
  <si>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</si>
  <si>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</si>
  <si>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</si>
  <si>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</si>
  <si>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</si>
  <si>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</si>
  <si>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</si>
  <si>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</si>
  <si>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</si>
  <si>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</si>
  <si>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</si>
  <si>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</si>
  <si>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</si>
  <si>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</si>
  <si>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</si>
  <si>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</si>
  <si>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</si>
  <si>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</si>
  <si>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</si>
  <si>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</si>
  <si>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</si>
  <si>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</si>
  <si>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</si>
  <si>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</si>
  <si>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</si>
  <si>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</si>
  <si>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</si>
  <si>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</si>
  <si>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</si>
  <si>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</si>
  <si>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</si>
  <si>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</si>
  <si>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</si>
  <si>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</si>
  <si>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</si>
  <si>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</si>
  <si>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</si>
  <si>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</si>
  <si>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</si>
  <si>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</si>
  <si>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</si>
  <si>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</si>
  <si>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</si>
  <si>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</si>
  <si>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</si>
  <si>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</si>
  <si>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</si>
  <si>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</si>
  <si>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</si>
  <si>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</si>
  <si>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</si>
  <si>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</si>
  <si>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</si>
  <si>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</si>
  <si>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</si>
  <si>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</si>
  <si>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</si>
  <si>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</si>
  <si>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</si>
  <si>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</si>
  <si>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</si>
  <si>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</si>
  <si>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</si>
  <si>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</si>
  <si>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</si>
  <si>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</si>
  <si>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</si>
  <si>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</si>
  <si>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</si>
  <si>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</si>
  <si>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</si>
  <si>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</si>
  <si>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</si>
  <si>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</si>
  <si>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</si>
  <si>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</si>
  <si>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</si>
  <si>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</si>
  <si>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</si>
  <si>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</si>
  <si>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</si>
  <si>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</si>
  <si>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</si>
  <si>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</si>
  <si>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</si>
  <si>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</si>
  <si>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</si>
  <si>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</si>
  <si>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</si>
  <si>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</si>
  <si>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</si>
  <si>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</si>
  <si>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</si>
  <si>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</si>
  <si>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</si>
  <si>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</si>
  <si>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</si>
  <si>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</si>
  <si>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</si>
  <si>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</si>
  <si>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</si>
  <si>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</si>
  <si>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</si>
  <si>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</si>
  <si>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</si>
  <si>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</si>
  <si>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</si>
  <si>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</si>
  <si>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</si>
  <si>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</si>
  <si>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</si>
  <si>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</si>
  <si>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</si>
  <si>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</si>
  <si>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</si>
  <si>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</si>
  <si>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</si>
  <si>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</si>
  <si>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</si>
  <si>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</si>
  <si>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</si>
  <si>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</si>
  <si>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</si>
  <si>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</si>
  <si>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</si>
  <si>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</si>
  <si>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</si>
  <si>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</si>
  <si>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</si>
  <si>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</si>
  <si>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</si>
  <si>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</si>
  <si>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</si>
  <si>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</si>
  <si>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</si>
  <si>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</si>
  <si>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</si>
  <si>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</si>
  <si>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</si>
  <si>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</si>
  <si>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</si>
  <si>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</si>
  <si>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</si>
  <si>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</si>
  <si>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</si>
  <si>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</si>
  <si>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</si>
  <si>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</si>
  <si>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</si>
  <si>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</si>
  <si>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</si>
  <si>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</si>
  <si>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</si>
  <si>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</si>
  <si>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</si>
  <si>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</si>
  <si>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</si>
  <si>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</si>
  <si>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</si>
  <si>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</si>
  <si>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</si>
  <si>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</si>
  <si>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</si>
  <si>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</si>
  <si>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</si>
  <si>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</si>
  <si>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</si>
  <si>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</si>
  <si>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</si>
  <si>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</si>
  <si>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</si>
  <si>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</si>
  <si>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</si>
  <si>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</si>
  <si>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</si>
  <si>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</si>
  <si>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</si>
  <si>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</si>
  <si>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</si>
  <si>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</si>
  <si>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</si>
  <si>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</si>
  <si>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</si>
  <si>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</si>
  <si>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</si>
  <si>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</si>
  <si>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</si>
  <si>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</si>
  <si>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</si>
  <si>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</si>
  <si>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</si>
  <si>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</si>
  <si>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</si>
  <si>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</si>
  <si>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</si>
  <si>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</si>
  <si>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</si>
  <si>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</si>
  <si>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</si>
  <si>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</si>
  <si>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</si>
  <si>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</si>
  <si>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</si>
  <si>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</si>
  <si>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</si>
  <si>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</si>
  <si>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</si>
  <si>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</si>
  <si>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</si>
  <si>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</si>
  <si>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</si>
  <si>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</si>
  <si>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</si>
  <si>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</si>
  <si>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</si>
  <si>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</si>
  <si>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</si>
  <si>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</si>
  <si>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</si>
  <si>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</si>
  <si>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</si>
  <si>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</si>
  <si>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</si>
  <si>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</si>
  <si>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</si>
  <si>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</si>
  <si>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</si>
  <si>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</si>
  <si>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</si>
  <si>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</si>
  <si>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</si>
  <si>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</si>
  <si>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</si>
  <si>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</si>
  <si>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</si>
  <si>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</si>
  <si>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</si>
  <si>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</si>
  <si>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</si>
  <si>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</si>
  <si>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</si>
  <si>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</si>
  <si>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</si>
  <si>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</si>
  <si>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</si>
  <si>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</si>
  <si>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</si>
  <si>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</si>
  <si>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</si>
  <si>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</si>
  <si>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</si>
  <si>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</si>
  <si>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</si>
  <si>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</si>
  <si>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</si>
  <si>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</si>
  <si>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</si>
  <si>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</si>
  <si>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</si>
  <si>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</si>
  <si>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</si>
  <si>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</si>
  <si>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</si>
  <si>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</si>
  <si>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</si>
  <si>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</si>
  <si>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</si>
  <si>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</si>
  <si>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</si>
  <si>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</si>
  <si>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</si>
  <si>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</si>
  <si>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</si>
  <si>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</si>
  <si>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</si>
  <si>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</si>
  <si>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</si>
  <si>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</si>
  <si>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</si>
  <si>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</si>
  <si>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</si>
  <si>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</si>
  <si>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</si>
  <si>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</si>
  <si>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</si>
  <si>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</si>
  <si>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</si>
  <si>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</si>
  <si>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</si>
  <si>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</si>
  <si>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</si>
  <si>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</si>
  <si>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</si>
  <si>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</si>
  <si>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</si>
  <si>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</si>
  <si>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</si>
  <si>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</si>
  <si>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</si>
  <si>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</si>
  <si>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</si>
  <si>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</si>
  <si>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</si>
  <si>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</si>
  <si>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</si>
  <si>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</si>
  <si>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</si>
  <si>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</si>
  <si>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</si>
  <si>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</si>
  <si>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</si>
  <si>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</si>
  <si>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</si>
  <si>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</si>
  <si>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</si>
  <si>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</si>
  <si>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</si>
  <si>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</si>
  <si>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</si>
  <si>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</si>
  <si>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</si>
  <si>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</si>
  <si>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</si>
  <si>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</si>
  <si>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</si>
  <si>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</si>
  <si>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</si>
  <si>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</si>
  <si>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</si>
  <si>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</si>
  <si>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</si>
  <si>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</si>
  <si>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</si>
  <si>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</si>
  <si>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</si>
  <si>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</si>
  <si>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</si>
  <si>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</si>
  <si>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</si>
  <si>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</si>
  <si>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</si>
  <si>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</si>
  <si>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</si>
  <si>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</si>
  <si>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</si>
  <si>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</si>
  <si>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</si>
  <si>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</si>
  <si>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</si>
  <si>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</si>
  <si>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</si>
  <si>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</si>
  <si>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</si>
  <si>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</si>
  <si>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</si>
  <si>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</si>
  <si>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</si>
  <si>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</si>
  <si>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</si>
  <si>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</si>
  <si>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</si>
  <si>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</si>
  <si>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</si>
  <si>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</si>
  <si>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</si>
  <si>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</si>
  <si>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</si>
  <si>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</si>
  <si>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</si>
  <si>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</si>
  <si>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</si>
  <si>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</si>
  <si>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</si>
  <si>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</si>
  <si>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</si>
  <si>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</si>
  <si>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</si>
  <si>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</si>
  <si>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</si>
  <si>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</si>
  <si>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</si>
  <si>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</si>
  <si>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</si>
  <si>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</si>
  <si>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</si>
  <si>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</si>
  <si>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</si>
  <si>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</si>
  <si>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</si>
  <si>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</si>
  <si>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</si>
  <si>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</si>
  <si>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</si>
  <si>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</si>
  <si>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</si>
  <si>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</si>
  <si>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</si>
  <si>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</si>
  <si>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</si>
  <si>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</si>
  <si>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</si>
  <si>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</si>
  <si>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</si>
  <si>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</si>
  <si>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</si>
  <si>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</si>
  <si>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</si>
  <si>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</si>
  <si>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</si>
  <si>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</si>
  <si>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</si>
  <si>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</si>
  <si>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</si>
  <si>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</si>
  <si>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</si>
  <si>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</si>
  <si>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</si>
  <si>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</si>
  <si>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</si>
  <si>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</si>
  <si>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</si>
  <si>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</si>
  <si>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</si>
  <si>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</si>
  <si>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</si>
  <si>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</si>
  <si>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</si>
  <si>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</si>
  <si>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</si>
  <si>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</si>
  <si>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</si>
  <si>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</si>
  <si>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</si>
  <si>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</si>
  <si>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</si>
  <si>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</si>
  <si>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</si>
  <si>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</si>
  <si>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r>
      <rPr>
        <sz val="10"/>
        <color theme="9" tint="-0.249977111117893"/>
        <rFont val="宋体"/>
        <family val="3"/>
        <charset val="134"/>
      </rPr>
      <t>海淀区王庄路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层A</t>
    </r>
    <phoneticPr fontId="7" type="noConversion"/>
  </si>
  <si>
    <t>北京凤凰意创科技有限公司</t>
    <phoneticPr fontId="7" type="noConversion"/>
  </si>
  <si>
    <t>是</t>
  </si>
  <si>
    <t>否</t>
  </si>
  <si>
    <t>办公项目</t>
  </si>
  <si>
    <t>现房</t>
  </si>
  <si>
    <t>地上</t>
  </si>
  <si>
    <t>单价</t>
    <phoneticPr fontId="135" type="noConversion"/>
  </si>
  <si>
    <t>2024-1-0527</t>
    <phoneticPr fontId="135" type="noConversion"/>
  </si>
  <si>
    <t>2024年康正出正评</t>
    <phoneticPr fontId="135" type="noConversion"/>
  </si>
  <si>
    <t>总价（元）</t>
    <phoneticPr fontId="135" type="noConversion"/>
  </si>
  <si>
    <t>2025重估单</t>
    <phoneticPr fontId="135" type="noConversion"/>
  </si>
  <si>
    <t>比较法单价：47953元，收益法单价：34758元</t>
    <phoneticPr fontId="135" type="noConversion"/>
  </si>
  <si>
    <t>收益法租金取7.82元/平方米/天</t>
    <phoneticPr fontId="135" type="noConversion"/>
  </si>
  <si>
    <t>土地价值</t>
    <phoneticPr fontId="135" type="noConversion"/>
  </si>
  <si>
    <t>建筑物价值</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</si>
</sst>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0" fontId="160" fillId="12" borderId="0" xfId="12" applyNumberForma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484571</xdr:colOff>
      <xdr:row>41</xdr:row>
      <xdr:rowOff>63825</xdr:rowOff>
    </xdr:to>
    <xdr:pic>
      <xdr:nvPicPr>
        <xdr:cNvPr id="2" name="图片 1">
          <a:extLst>
            <a:ext uri="{FF2B5EF4-FFF2-40B4-BE49-F238E27FC236}">
              <a16:creationId xmlns:a16="http://schemas.microsoft.com/office/drawing/2014/main" id="{27BFAB04-856C-6620-8FC0-76A4B6EB2F09}"/>
            </a:ext>
          </a:extLst>
        </xdr:cNvPr>
        <xdr:cNvPicPr>
          <a:picLocks noChangeAspect="1"/>
        </xdr:cNvPicPr>
      </xdr:nvPicPr>
      <xdr:blipFill>
        <a:blip xmlns:r="http://schemas.openxmlformats.org/officeDocument/2006/relationships" r:embed="rId1"/>
        <a:stretch>
          <a:fillRect/>
        </a:stretch>
      </xdr:blipFill>
      <xdr:spPr>
        <a:xfrm>
          <a:off x="0" y="0"/>
          <a:ext cx="9628571" cy="7561905"/>
        </a:xfrm>
        <a:prstGeom prst="rect">
          <a:avLst/>
        </a:prstGeom>
      </xdr:spPr>
    </xdr:pic>
    <xdr:clientData/>
  </xdr:twoCellAnchor>
  <xdr:twoCellAnchor editAs="oneCell">
    <xdr:from>
      <xdr:col>0</xdr:col>
      <xdr:colOff>0</xdr:colOff>
      <xdr:row>42</xdr:row>
      <xdr:rowOff>0</xdr:rowOff>
    </xdr:from>
    <xdr:to>
      <xdr:col>16</xdr:col>
      <xdr:colOff>141638</xdr:colOff>
      <xdr:row>85</xdr:row>
      <xdr:rowOff>50446</xdr:rowOff>
    </xdr:to>
    <xdr:pic>
      <xdr:nvPicPr>
        <xdr:cNvPr id="3" name="图片 2">
          <a:extLst>
            <a:ext uri="{FF2B5EF4-FFF2-40B4-BE49-F238E27FC236}">
              <a16:creationId xmlns:a16="http://schemas.microsoft.com/office/drawing/2014/main" id="{9EAE1A83-1A6C-41F4-60C6-742A75B2073F}"/>
            </a:ext>
          </a:extLst>
        </xdr:cNvPr>
        <xdr:cNvPicPr>
          <a:picLocks noChangeAspect="1"/>
        </xdr:cNvPicPr>
      </xdr:nvPicPr>
      <xdr:blipFill>
        <a:blip xmlns:r="http://schemas.openxmlformats.org/officeDocument/2006/relationships" r:embed="rId2"/>
        <a:stretch>
          <a:fillRect/>
        </a:stretch>
      </xdr:blipFill>
      <xdr:spPr>
        <a:xfrm>
          <a:off x="0" y="7680960"/>
          <a:ext cx="9895238" cy="7914286"/>
        </a:xfrm>
        <a:prstGeom prst="rect">
          <a:avLst/>
        </a:prstGeom>
      </xdr:spPr>
    </xdr:pic>
    <xdr:clientData/>
  </xdr:twoCellAnchor>
  <xdr:twoCellAnchor editAs="oneCell">
    <xdr:from>
      <xdr:col>0</xdr:col>
      <xdr:colOff>0</xdr:colOff>
      <xdr:row>86</xdr:row>
      <xdr:rowOff>0</xdr:rowOff>
    </xdr:from>
    <xdr:to>
      <xdr:col>18</xdr:col>
      <xdr:colOff>170057</xdr:colOff>
      <xdr:row>125</xdr:row>
      <xdr:rowOff>124823</xdr:rowOff>
    </xdr:to>
    <xdr:pic>
      <xdr:nvPicPr>
        <xdr:cNvPr id="4" name="图片 3">
          <a:extLst>
            <a:ext uri="{FF2B5EF4-FFF2-40B4-BE49-F238E27FC236}">
              <a16:creationId xmlns:a16="http://schemas.microsoft.com/office/drawing/2014/main" id="{16212F3A-4D93-99F3-CFA5-5CD051A8A6BC}"/>
            </a:ext>
          </a:extLst>
        </xdr:cNvPr>
        <xdr:cNvPicPr>
          <a:picLocks noChangeAspect="1"/>
        </xdr:cNvPicPr>
      </xdr:nvPicPr>
      <xdr:blipFill>
        <a:blip xmlns:r="http://schemas.openxmlformats.org/officeDocument/2006/relationships" r:embed="rId3"/>
        <a:stretch>
          <a:fillRect/>
        </a:stretch>
      </xdr:blipFill>
      <xdr:spPr>
        <a:xfrm>
          <a:off x="0" y="15727680"/>
          <a:ext cx="11142857" cy="7257143"/>
        </a:xfrm>
        <a:prstGeom prst="rect">
          <a:avLst/>
        </a:prstGeom>
      </xdr:spPr>
    </xdr:pic>
    <xdr:clientData/>
  </xdr:twoCellAnchor>
  <xdr:twoCellAnchor editAs="oneCell">
    <xdr:from>
      <xdr:col>0</xdr:col>
      <xdr:colOff>0</xdr:colOff>
      <xdr:row>126</xdr:row>
      <xdr:rowOff>0</xdr:rowOff>
    </xdr:from>
    <xdr:to>
      <xdr:col>16</xdr:col>
      <xdr:colOff>255924</xdr:colOff>
      <xdr:row>166</xdr:row>
      <xdr:rowOff>170514</xdr:rowOff>
    </xdr:to>
    <xdr:pic>
      <xdr:nvPicPr>
        <xdr:cNvPr id="5" name="图片 4">
          <a:extLst>
            <a:ext uri="{FF2B5EF4-FFF2-40B4-BE49-F238E27FC236}">
              <a16:creationId xmlns:a16="http://schemas.microsoft.com/office/drawing/2014/main" id="{2473E7E9-9792-18BB-2302-9A7CBC7BCD48}"/>
            </a:ext>
          </a:extLst>
        </xdr:cNvPr>
        <xdr:cNvPicPr>
          <a:picLocks noChangeAspect="1"/>
        </xdr:cNvPicPr>
      </xdr:nvPicPr>
      <xdr:blipFill>
        <a:blip xmlns:r="http://schemas.openxmlformats.org/officeDocument/2006/relationships" r:embed="rId4"/>
        <a:stretch>
          <a:fillRect/>
        </a:stretch>
      </xdr:blipFill>
      <xdr:spPr>
        <a:xfrm>
          <a:off x="0" y="23042880"/>
          <a:ext cx="10009524"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428190</xdr:colOff>
      <xdr:row>34</xdr:row>
      <xdr:rowOff>67794</xdr:rowOff>
    </xdr:to>
    <xdr:pic>
      <xdr:nvPicPr>
        <xdr:cNvPr id="2" name="图片 1">
          <a:extLst>
            <a:ext uri="{FF2B5EF4-FFF2-40B4-BE49-F238E27FC236}">
              <a16:creationId xmlns:a16="http://schemas.microsoft.com/office/drawing/2014/main" id="{A97BA0D3-C3BE-EF8A-B792-B9894D3C0C54}"/>
            </a:ext>
          </a:extLst>
        </xdr:cNvPr>
        <xdr:cNvPicPr>
          <a:picLocks noChangeAspect="1"/>
        </xdr:cNvPicPr>
      </xdr:nvPicPr>
      <xdr:blipFill>
        <a:blip xmlns:r="http://schemas.openxmlformats.org/officeDocument/2006/relationships" r:embed="rId1"/>
        <a:stretch>
          <a:fillRect/>
        </a:stretch>
      </xdr:blipFill>
      <xdr:spPr>
        <a:xfrm>
          <a:off x="0" y="0"/>
          <a:ext cx="3476190" cy="6285714"/>
        </a:xfrm>
        <a:prstGeom prst="rect">
          <a:avLst/>
        </a:prstGeom>
      </xdr:spPr>
    </xdr:pic>
    <xdr:clientData/>
  </xdr:twoCellAnchor>
  <xdr:twoCellAnchor editAs="oneCell">
    <xdr:from>
      <xdr:col>6</xdr:col>
      <xdr:colOff>0</xdr:colOff>
      <xdr:row>0</xdr:row>
      <xdr:rowOff>0</xdr:rowOff>
    </xdr:from>
    <xdr:to>
      <xdr:col>11</xdr:col>
      <xdr:colOff>513905</xdr:colOff>
      <xdr:row>36</xdr:row>
      <xdr:rowOff>35368</xdr:rowOff>
    </xdr:to>
    <xdr:pic>
      <xdr:nvPicPr>
        <xdr:cNvPr id="3" name="图片 2">
          <a:extLst>
            <a:ext uri="{FF2B5EF4-FFF2-40B4-BE49-F238E27FC236}">
              <a16:creationId xmlns:a16="http://schemas.microsoft.com/office/drawing/2014/main" id="{CD58FC1D-B5D4-13F7-7E2E-793790A9AE11}"/>
            </a:ext>
          </a:extLst>
        </xdr:cNvPr>
        <xdr:cNvPicPr>
          <a:picLocks noChangeAspect="1"/>
        </xdr:cNvPicPr>
      </xdr:nvPicPr>
      <xdr:blipFill>
        <a:blip xmlns:r="http://schemas.openxmlformats.org/officeDocument/2006/relationships" r:embed="rId2"/>
        <a:stretch>
          <a:fillRect/>
        </a:stretch>
      </xdr:blipFill>
      <xdr:spPr>
        <a:xfrm>
          <a:off x="3657600" y="0"/>
          <a:ext cx="3561905" cy="6619048"/>
        </a:xfrm>
        <a:prstGeom prst="rect">
          <a:avLst/>
        </a:prstGeom>
      </xdr:spPr>
    </xdr:pic>
    <xdr:clientData/>
  </xdr:twoCellAnchor>
  <xdr:twoCellAnchor editAs="oneCell">
    <xdr:from>
      <xdr:col>12</xdr:col>
      <xdr:colOff>0</xdr:colOff>
      <xdr:row>0</xdr:row>
      <xdr:rowOff>0</xdr:rowOff>
    </xdr:from>
    <xdr:to>
      <xdr:col>18</xdr:col>
      <xdr:colOff>104305</xdr:colOff>
      <xdr:row>25</xdr:row>
      <xdr:rowOff>161333</xdr:rowOff>
    </xdr:to>
    <xdr:pic>
      <xdr:nvPicPr>
        <xdr:cNvPr id="4" name="图片 3">
          <a:extLst>
            <a:ext uri="{FF2B5EF4-FFF2-40B4-BE49-F238E27FC236}">
              <a16:creationId xmlns:a16="http://schemas.microsoft.com/office/drawing/2014/main" id="{82E143ED-217D-CE2B-E5EB-51B7A0281368}"/>
            </a:ext>
          </a:extLst>
        </xdr:cNvPr>
        <xdr:cNvPicPr>
          <a:picLocks noChangeAspect="1"/>
        </xdr:cNvPicPr>
      </xdr:nvPicPr>
      <xdr:blipFill>
        <a:blip xmlns:r="http://schemas.openxmlformats.org/officeDocument/2006/relationships" r:embed="rId3"/>
        <a:stretch>
          <a:fillRect/>
        </a:stretch>
      </xdr:blipFill>
      <xdr:spPr>
        <a:xfrm>
          <a:off x="7315200" y="0"/>
          <a:ext cx="3761905" cy="4733333"/>
        </a:xfrm>
        <a:prstGeom prst="rect">
          <a:avLst/>
        </a:prstGeom>
      </xdr:spPr>
    </xdr:pic>
    <xdr:clientData/>
  </xdr:twoCellAnchor>
  <xdr:twoCellAnchor editAs="oneCell">
    <xdr:from>
      <xdr:col>18</xdr:col>
      <xdr:colOff>0</xdr:colOff>
      <xdr:row>0</xdr:row>
      <xdr:rowOff>0</xdr:rowOff>
    </xdr:from>
    <xdr:to>
      <xdr:col>23</xdr:col>
      <xdr:colOff>380571</xdr:colOff>
      <xdr:row>34</xdr:row>
      <xdr:rowOff>172556</xdr:rowOff>
    </xdr:to>
    <xdr:pic>
      <xdr:nvPicPr>
        <xdr:cNvPr id="5" name="图片 4">
          <a:extLst>
            <a:ext uri="{FF2B5EF4-FFF2-40B4-BE49-F238E27FC236}">
              <a16:creationId xmlns:a16="http://schemas.microsoft.com/office/drawing/2014/main" id="{50E1E412-4CC6-8CC9-A72D-C2C70B4DC114}"/>
            </a:ext>
          </a:extLst>
        </xdr:cNvPr>
        <xdr:cNvPicPr>
          <a:picLocks noChangeAspect="1"/>
        </xdr:cNvPicPr>
      </xdr:nvPicPr>
      <xdr:blipFill>
        <a:blip xmlns:r="http://schemas.openxmlformats.org/officeDocument/2006/relationships" r:embed="rId4"/>
        <a:stretch>
          <a:fillRect/>
        </a:stretch>
      </xdr:blipFill>
      <xdr:spPr>
        <a:xfrm>
          <a:off x="10972800" y="0"/>
          <a:ext cx="3428571" cy="6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北京市海淀区王庄路1号院2号楼17层A房地产抵押价值预评估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受贵公司委托，我公司对北京市海淀区王庄路1号院2号楼17层A房地产抵押价值进行了预评估。</v>
      </c>
    </row>
    <row r="7" spans="1:2">
      <c r="A7" s="1119" t="s">
        <v>566</v>
      </c>
      <c r="B7" s="1120" t="str">
        <f>'预评函-1'!A7</f>
        <v>估价对象为北京市海淀区王庄路1号院2号楼17层A房地产，为北京凤凰意创科技有限公司所有。根据《国有土地使用证》[]，估价对象（分摊）出让国有建设用地使用权面积为134.79平方米，建筑面积为700.1平方米。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王庄路1号院2号楼17层A房地产,属北京凤凰意创科技有限公司开发建设的办公项目，该项目尚在开发建设中。根据《国有土地使用证》[]，估价对象（分摊）出让国有建设用地使用权面积为134.79平方米，规划建筑面积为700.1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2025年6月26日</v>
      </c>
    </row>
    <row r="13" spans="1:2">
      <c r="A13" s="1119" t="s">
        <v>529</v>
      </c>
      <c r="B13" s="1120"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北京市海淀区王庄路1号院2号楼17层A房地产</v>
      </c>
    </row>
    <row r="42" spans="1:2" ht="31.2">
      <c r="A42" s="1119" t="s">
        <v>590</v>
      </c>
      <c r="B42" s="1120" t="str">
        <f>'预评函-3'!B2</f>
        <v>建筑面积</v>
      </c>
    </row>
    <row r="43" spans="1:2">
      <c r="A43" s="1119" t="s">
        <v>591</v>
      </c>
      <c r="B43" s="1120">
        <f>'预评函-3'!B4</f>
        <v>700.1</v>
      </c>
    </row>
    <row r="44" spans="1:2" ht="31.2">
      <c r="A44" s="1119" t="s">
        <v>575</v>
      </c>
      <c r="B44" s="1120" t="str">
        <f>'预评函-3'!C2</f>
        <v>(分摊)土地面积</v>
      </c>
    </row>
    <row r="45" spans="1:2">
      <c r="A45" s="1119" t="s">
        <v>547</v>
      </c>
      <c r="B45" s="1120">
        <f>'预评函-3'!C4</f>
        <v>134.79</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45834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1.48</v>
      </c>
      <c r="D5" s="2766">
        <f>IF(ISERROR(ROUND(POWER(1+E5,A5-C5)*(POWER(1+E5,C5)-1)/(POWER(1+E5,A5)-1),3)),0,ROUND(POWER(1+E5,A5-C5)*(POWER(1+E5,C5)-1)/(POWER(1+E5,A5)-1),4))</f>
        <v>7.1199999999999999E-2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11.49</v>
      </c>
      <c r="D6" s="2766">
        <f>IF(ISERROR(ROUND(POWER(1+E6,A6-C6)*(POWER(1+E6,C6)-1)/(POWER(1+E6,A6)-1),3)),0,ROUND(POWER(1+E6,A6-C6)*(POWER(1+E6,C6)-1)/(POWER(1+E6,A6)-1),4))</f>
        <v>0.42220000000000002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v>
      </c>
      <c r="D7" s="2766">
        <f>IF(ISERROR(ROUND(POWER(1+E7,A7-C7)*(POWER(1+E7,C7)-1)/(POWER(1+E7,A7)-1),3)),0,ROUND(POWER(1+E7,A7-C7)*(POWER(1+E7,C7)-1)/(POWER(1+E7,A7)-1),4))</f>
        <v>0.75800000000000001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1" sqref="B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北京市海淀区王庄路1号院2号楼17层A房地产抵押价值预评估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北京市海淀区王庄路1号院2号楼17层A房地产抵押价值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北京市海淀区王庄路1号院2号楼17层A房地产</v>
      </c>
      <c r="T2" s="1618"/>
      <c r="U2" s="1618"/>
      <c r="V2" s="1618"/>
      <c r="W2" s="1618"/>
      <c r="X2" s="1618"/>
      <c r="Y2" s="1618"/>
      <c r="Z2" s="1618"/>
      <c r="AA2" s="1618"/>
      <c r="AB2" s="1618"/>
    </row>
    <row r="3" spans="1:30">
      <c r="A3" s="294" t="s">
        <v>2170</v>
      </c>
      <c r="B3" s="2185"/>
      <c r="C3" s="2186" t="s">
        <v>2171</v>
      </c>
      <c r="D3" s="2185">
        <v>45834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09"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0"/>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1" t="s">
        <v>3416</v>
      </c>
      <c r="G10" s="2443"/>
      <c r="H10" s="2444"/>
      <c r="I10" s="2445"/>
      <c r="J10" s="2244"/>
      <c r="K10" s="2401"/>
      <c r="L10" s="2398"/>
      <c r="M10" s="2398"/>
      <c r="N10" s="2244"/>
      <c r="O10" s="1670"/>
      <c r="P10" s="2244"/>
      <c r="Q10" s="2244"/>
      <c r="R10" s="2244"/>
    </row>
    <row r="11" spans="1:30" ht="36">
      <c r="A11" s="2212" t="s">
        <v>2181</v>
      </c>
      <c r="B11" s="2213" t="s">
        <v>3415</v>
      </c>
      <c r="C11" s="3162" t="s">
        <v>3417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55118</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25.43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700.1</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134.79</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3418</v>
      </c>
      <c r="D19" s="1456" t="s">
        <v>2204</v>
      </c>
      <c r="E19" s="1457" t="s">
        <v>3419</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9" t="s">
        <v>2214</v>
      </c>
      <c r="B27" s="312" t="s">
        <v>2215</v>
      </c>
      <c r="C27" s="2224" t="s">
        <v>3420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0"/>
      <c r="B30" s="294" t="s">
        <v>2218</v>
      </c>
      <c r="C30" s="3231"/>
      <c r="D30" s="3232"/>
      <c r="E30" s="2441"/>
      <c r="F30" s="2441"/>
      <c r="G30" s="2441"/>
      <c r="H30" s="2441"/>
      <c r="I30" s="2441"/>
      <c r="J30" s="2244"/>
      <c r="K30" s="2401"/>
      <c r="L30" s="2398"/>
      <c r="M30" s="2398"/>
      <c r="N30" s="2244"/>
      <c r="O30" s="1670"/>
      <c r="P30" s="2244"/>
      <c r="Q30" s="2244"/>
      <c r="R30" s="2244"/>
      <c r="S30" s="2244"/>
      <c r="T30" s="2244"/>
      <c r="U30" s="2244"/>
      <c r="V30" s="2244"/>
    </row>
    <row r="31" spans="1:28">
      <c r="A31" s="3233"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134.79</v>
      </c>
      <c r="B3" s="11">
        <f>IF(C3="否",G5-AT5,G5)</f>
        <v>700.1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700.1</v>
      </c>
      <c r="H5" s="13">
        <f t="shared" ref="H5:AT5" si="0">SUM(H13:H656)</f>
        <v>700.1</v>
      </c>
      <c r="I5" s="13">
        <f t="shared" si="0"/>
        <v>700.1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700.1</v>
      </c>
      <c r="BA5" s="15">
        <f t="shared" si="1"/>
        <v>700.1</v>
      </c>
      <c r="BB5" s="15">
        <f t="shared" si="1"/>
        <v>700.1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134.79</v>
      </c>
      <c r="F6" s="13" t="s">
        <v>0</v>
      </c>
      <c r="G6" s="13" t="s">
        <v>1</v>
      </c>
      <c r="H6" s="17">
        <f>SUMIF(I$12:AB$12,"总值",I6:AB6)</f>
        <v>134.79</v>
      </c>
      <c r="I6" s="13">
        <f t="shared" ref="I6:AB6" si="2">ROUND($A$3*I5/$B$3,2)</f>
        <v>134.79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134.79</v>
      </c>
      <c r="AZ6" s="13" t="s">
        <v>2</v>
      </c>
      <c r="BA6" s="13">
        <f>ROUND($AY$6*BA5/$AZ$5,2)</f>
        <v>134.79</v>
      </c>
      <c r="BB6" s="13">
        <f>ROUND($AY$6*BB5/$AZ$5,2)</f>
        <v>134.79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3418</v>
      </c>
      <c r="E13" s="13">
        <f>IF($C$3="是",ROUND($A$3*G13/$B$3,2),ROUND($A$3*(G13-AT13)/$B$3,2))</f>
        <v>134.79</v>
      </c>
      <c r="F13" s="29"/>
      <c r="G13" s="30">
        <f>H13+AC13+AT13</f>
        <v>700.1</v>
      </c>
      <c r="H13" s="17">
        <f>SUMIF(I$12:AB$12,"总值",I13:AB13)</f>
        <v>700.1</v>
      </c>
      <c r="I13" s="1514">
        <v>700.1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134.79</v>
      </c>
      <c r="AZ13" s="13">
        <f>BA13+BL13</f>
        <v>700.1</v>
      </c>
      <c r="BA13" s="13">
        <f>SUM(BB13:BK13)</f>
        <v>700.1</v>
      </c>
      <c r="BB13" s="13">
        <f>IF($D13="是",I13-J13,0)</f>
        <v>700.1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7" sqref="G7"/>
    </sheetView>
  </sheetViews>
  <sheetFormatPr defaultColWidth="9" defaultRowHeight="14.4"/>
  <cols>
    <col min="1" max="1" width="25" style="2300" customWidth="1"/>
    <col min="2" max="9" width="15.77734375" style="2300" customWidth="1"/>
    <col min="10" max="16384" width="9" style="2300"/>
  </cols>
  <sheetData>
    <row r="1" spans="1:11" ht="62.4">
      <c r="A1" s="2299" t="s">
        <v>665</v>
      </c>
      <c r="B1" s="2299">
        <f>SUM(B14:B23)</f>
        <v>700.1</v>
      </c>
      <c r="C1" s="2460"/>
      <c r="D1" s="2460"/>
      <c r="E1" s="2460" t="s">
        <v>3425</v>
      </c>
      <c r="F1" s="2460" t="s">
        <v>3428</v>
      </c>
      <c r="G1" s="3163" t="s">
        <v>3429</v>
      </c>
      <c r="H1" s="2461"/>
      <c r="I1" s="2461"/>
      <c r="J1" s="2461"/>
      <c r="K1" s="2461"/>
    </row>
    <row r="2" spans="1:11" ht="16.2">
      <c r="A2" s="2299" t="s">
        <v>653</v>
      </c>
      <c r="B2" s="2299">
        <f>SUM(C14:C23)</f>
        <v>0</v>
      </c>
      <c r="C2" s="2460"/>
      <c r="D2" s="2460"/>
      <c r="E2" s="2460"/>
      <c r="F2" s="2460" t="s">
        <v>3423</v>
      </c>
      <c r="G2" s="3163" t="s">
        <v>3426</v>
      </c>
      <c r="H2" s="2461"/>
      <c r="I2" s="2461"/>
      <c r="J2" s="2461"/>
      <c r="K2" s="2461"/>
    </row>
    <row r="3" spans="1:11" ht="15.6">
      <c r="A3" s="2299" t="s">
        <v>662</v>
      </c>
      <c r="B3" s="2301">
        <f>项目基本情况!D3</f>
        <v>45834</v>
      </c>
      <c r="C3" s="2460"/>
      <c r="D3" s="2460"/>
      <c r="E3" s="2460" t="s">
        <v>3424</v>
      </c>
      <c r="F3" s="2460">
        <v>42675</v>
      </c>
      <c r="G3" s="2461">
        <v>29876768</v>
      </c>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2835</v>
      </c>
      <c r="C5" s="2299">
        <f ca="1">IF(B5=D14,结果表!H102,ROUND(B5*10000/$B$1,0))</f>
        <v>0</v>
      </c>
      <c r="D5" s="2299" t="e">
        <f>ROUND(B5*10000/$B$2,0)</f>
        <v>#DIV/0!</v>
      </c>
      <c r="E5" s="2460" t="s">
        <v>3427</v>
      </c>
      <c r="F5" s="2461">
        <v>40500</v>
      </c>
      <c r="G5" s="2461">
        <f>ROUND(F5*B14,0)</f>
        <v>28354050</v>
      </c>
      <c r="H5" s="2461">
        <f>ROUND(G5/10000,0)</f>
        <v>2835</v>
      </c>
      <c r="I5" s="2461"/>
      <c r="J5" s="2461"/>
      <c r="K5" s="2461"/>
    </row>
    <row r="6" spans="1:11" ht="15.6">
      <c r="A6" s="2299" t="s">
        <v>656</v>
      </c>
      <c r="B6" s="2299">
        <f>SUM(G14:G23)</f>
        <v>2835</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t="s">
        <v>3430</v>
      </c>
      <c r="F7" s="3499">
        <v>0.81399999999999995</v>
      </c>
      <c r="G7" s="2461">
        <f>ROUND(H5*F7,0)</f>
        <v>2308</v>
      </c>
      <c r="H7" s="2461"/>
      <c r="I7" s="2461"/>
      <c r="J7" s="2461"/>
      <c r="K7" s="2461"/>
    </row>
    <row r="8" spans="1:11" ht="15.6">
      <c r="A8" s="2299" t="s">
        <v>587</v>
      </c>
      <c r="B8" s="2299">
        <f>SUM(I14:I23)</f>
        <v>0</v>
      </c>
      <c r="C8" s="2299" t="str">
        <f>IF(B8=I14,结果表!H112,ROUND(B8*10000/$B$1,0))</f>
        <v>——</v>
      </c>
      <c r="D8" s="2299" t="e">
        <f>ROUND(B8*10000/$B$2,0)</f>
        <v>#DIV/0!</v>
      </c>
      <c r="E8" s="2460" t="s">
        <v>3431</v>
      </c>
      <c r="F8" s="3499">
        <v>0.186</v>
      </c>
      <c r="G8" s="2461">
        <f>ROUND(H5*F8,0)</f>
        <v>527</v>
      </c>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700.1</v>
      </c>
      <c r="C14" s="2305"/>
      <c r="D14" s="2305">
        <f>H5</f>
        <v>2835</v>
      </c>
      <c r="E14" s="2305">
        <f>F5</f>
        <v>40500</v>
      </c>
      <c r="F14" s="2305" t="e">
        <f>ROUND(D14*10000/C14,0)</f>
        <v>#DIV/0!</v>
      </c>
      <c r="G14" s="2305">
        <f>D14</f>
        <v>2835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F3EB-8758-49FC-8B89-655E3C21A8EE}">
  <sheetPr>
    <tabColor rgb="FF7030A0"/>
  </sheetPr>
  <dimension ref="A1"/>
  <sheetViews>
    <sheetView topLeftCell="A80" zoomScaleNormal="100" workbookViewId="0">
      <selection activeCell="A127" sqref="A127"/>
    </sheetView>
  </sheetViews>
  <sheetFormatPr defaultRowHeight="14.4"/>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C29EA-0169-4007-BB04-3C9F2E7ED076}">
  <sheetPr>
    <tabColor rgb="FF7030A0"/>
  </sheetPr>
  <dimension ref="A1"/>
  <sheetViews>
    <sheetView workbookViewId="0">
      <selection activeCell="S1" sqref="S1"/>
    </sheetView>
  </sheetViews>
  <sheetFormatPr defaultRowHeight="14.4"/>
  <sheetData/>
  <phoneticPr fontId="135"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8"/>
      <c r="G2" s="2431"/>
      <c r="H2" s="2432"/>
      <c r="I2" s="2146" t="s">
        <v>1132</v>
      </c>
      <c r="J2" s="2438"/>
      <c r="K2" s="2438"/>
      <c r="L2" s="2438"/>
      <c r="M2" s="2438"/>
      <c r="N2" s="2439"/>
      <c r="O2" s="2438"/>
      <c r="P2" s="2438"/>
    </row>
    <row r="3" spans="1:16" ht="15" thickBot="1">
      <c r="A3" s="3245" t="s">
        <v>1105</v>
      </c>
      <c r="B3" s="3245"/>
      <c r="C3" s="3245"/>
      <c r="D3" s="41">
        <f>'数据-基础表'!AY6</f>
        <v>134.79</v>
      </c>
      <c r="E3" s="41">
        <f>'数据-基础表'!AZ5</f>
        <v>700.1</v>
      </c>
      <c r="F3" s="2438"/>
      <c r="G3" s="42"/>
      <c r="H3" s="43" t="s">
        <v>1106</v>
      </c>
      <c r="I3" s="802">
        <f>ROUND('数据-基础表'!B3/'数据-基础表'!A3,2)</f>
        <v>5.19</v>
      </c>
      <c r="J3" s="2438"/>
      <c r="K3" s="2438"/>
      <c r="L3" s="2438"/>
      <c r="M3" s="2438"/>
      <c r="N3" s="2439"/>
      <c r="O3" s="2438"/>
      <c r="P3" s="2438"/>
    </row>
    <row r="4" spans="1:16" ht="14.4">
      <c r="A4" s="3246"/>
      <c r="B4" s="3247"/>
      <c r="C4" s="3248"/>
      <c r="D4" s="1524" t="s">
        <v>1107</v>
      </c>
      <c r="E4" s="1525" t="s">
        <v>1108</v>
      </c>
      <c r="F4" s="2438"/>
      <c r="G4" s="2433" t="s">
        <v>1133</v>
      </c>
      <c r="H4" s="43" t="s">
        <v>1113</v>
      </c>
      <c r="I4" s="802">
        <f>ROUND(SUMIF('数据-基础表'!I9:AS9,"地上",'数据-基础表'!I5:AS5)/'数据-基础表'!A3,2)</f>
        <v>5.19</v>
      </c>
      <c r="J4" s="2438"/>
      <c r="K4" s="2438"/>
      <c r="L4" s="2438"/>
      <c r="M4" s="2438"/>
      <c r="N4" s="2439"/>
      <c r="O4" s="2438"/>
      <c r="P4" s="2438"/>
    </row>
    <row r="5" spans="1:16" ht="14.4">
      <c r="A5" s="42" t="s">
        <v>1109</v>
      </c>
      <c r="B5" s="3249" t="s">
        <v>1110</v>
      </c>
      <c r="C5" s="3249"/>
      <c r="D5" s="43">
        <f>ROUND($D$3*E5/$E$3,2)</f>
        <v>0</v>
      </c>
      <c r="E5" s="44">
        <f>SUMIF('数据-基础表'!$11:$11,"住宅",'数据-基础表'!$5:$5)</f>
        <v>0</v>
      </c>
      <c r="F5" s="2438"/>
      <c r="G5" s="42"/>
      <c r="H5" s="43" t="s">
        <v>1106</v>
      </c>
      <c r="I5" s="802" t="e">
        <f>ROUND(E31/D31,2)</f>
        <v>#VALUE!</v>
      </c>
      <c r="J5" s="2438"/>
      <c r="K5" s="2438"/>
      <c r="L5" s="2438"/>
      <c r="M5" s="2438"/>
      <c r="N5" s="2438"/>
      <c r="O5" s="2438"/>
      <c r="P5" s="2438"/>
    </row>
    <row r="6" spans="1:16" ht="15" thickBot="1">
      <c r="A6" s="1527"/>
      <c r="B6" s="3249" t="s">
        <v>1111</v>
      </c>
      <c r="C6" s="3249"/>
      <c r="D6" s="43">
        <f>ROUND($D$3*E6/$E$3,2)</f>
        <v>134.79</v>
      </c>
      <c r="E6" s="44">
        <f>E3-E5</f>
        <v>700.1</v>
      </c>
      <c r="F6" s="2438"/>
      <c r="G6" s="1529" t="s">
        <v>1112</v>
      </c>
      <c r="H6" s="45" t="s">
        <v>1113</v>
      </c>
      <c r="I6" s="2434" t="e">
        <f>ROUND(F31/D31,2)</f>
        <v>#VALUE!</v>
      </c>
      <c r="J6" s="2438"/>
      <c r="K6" s="2438"/>
      <c r="L6" s="2438"/>
      <c r="M6" s="2438"/>
      <c r="N6" s="2438"/>
      <c r="O6" s="2438"/>
      <c r="P6" s="2438"/>
    </row>
    <row r="7" spans="1:16" ht="15" thickBot="1">
      <c r="A7" s="3241"/>
      <c r="B7" s="3242"/>
      <c r="C7" s="324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134.79</v>
      </c>
      <c r="E8" s="46">
        <f>SUMIF('数据-基础表'!BB10:BK10,"地上",'数据-基础表'!BB5:BK5)</f>
        <v>700.1</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134.79</v>
      </c>
      <c r="E16" s="48">
        <f>SUM(E8:E15)</f>
        <v>700.1</v>
      </c>
      <c r="F16" s="2438"/>
      <c r="G16" s="2438"/>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0</v>
      </c>
      <c r="F19" s="2556"/>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4"/>
      <c r="D20" s="43">
        <f t="shared" ref="D20:D26" si="6">ROUND($D$3*E20/$E$3,2)</f>
        <v>0</v>
      </c>
      <c r="E20" s="51">
        <f t="shared" si="1"/>
        <v>0</v>
      </c>
      <c r="F20" s="2556"/>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4"/>
      <c r="D21" s="43">
        <f t="shared" si="6"/>
        <v>0</v>
      </c>
      <c r="E21" s="51">
        <f t="shared" si="1"/>
        <v>0</v>
      </c>
      <c r="F21" s="2556"/>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5"/>
      <c r="D22" s="43">
        <f t="shared" si="6"/>
        <v>0</v>
      </c>
      <c r="E22" s="51">
        <f t="shared" si="1"/>
        <v>0</v>
      </c>
      <c r="F22" s="2557"/>
      <c r="G22" s="2558"/>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5"/>
      <c r="D23" s="43">
        <f>ROUND($D$3*E23/$E$3,2)</f>
        <v>0</v>
      </c>
      <c r="E23" s="51">
        <f>SUM(F23:G23)</f>
        <v>0</v>
      </c>
      <c r="F23" s="2557"/>
      <c r="G23" s="2558"/>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5"/>
      <c r="D24" s="43">
        <f>ROUND($D$3*E24/$E$3,2)</f>
        <v>0</v>
      </c>
      <c r="E24" s="51">
        <f>SUM(F24:G24)</f>
        <v>0</v>
      </c>
      <c r="F24" s="2557"/>
      <c r="G24" s="2558"/>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5"/>
      <c r="D25" s="43">
        <f t="shared" si="6"/>
        <v>0</v>
      </c>
      <c r="E25" s="51">
        <f t="shared" si="1"/>
        <v>0</v>
      </c>
      <c r="F25" s="2557"/>
      <c r="G25" s="2558"/>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7"/>
      <c r="G26" s="2558"/>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t="e">
        <f>E27+E30</f>
        <v>#VALUE!</v>
      </c>
      <c r="F31" s="644" t="e">
        <f>F27+F30</f>
        <v>#VALUE!</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0" t="s">
        <v>2286</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北京市海淀区王庄路1号院2号楼17层A房地产抵押价值预评估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9" t="str">
        <f>项目基本情况!S2</f>
        <v>北京市海淀区王庄路1号院2号楼17层A房地产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c r="D4" s="1626"/>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c r="D14" s="3313"/>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44" t="s">
        <v>2131</v>
      </c>
      <c r="F18" s="3345"/>
      <c r="G18" s="3345"/>
      <c r="H18" s="3345"/>
      <c r="I18" s="3345"/>
      <c r="K18" s="294" t="s">
        <v>1289</v>
      </c>
      <c r="L18" s="294">
        <f>IF(C1="",'数据-汇总表'!E3,SUMIF(项目类型,C1,'数据-汇总表'!E17:E26)+SUMIF(项目类型,C1,'数据-汇总表'!I17:I26))</f>
        <v>700.1</v>
      </c>
      <c r="M18" s="294">
        <f>IF(C1="",'数据-汇总表'!E3,SUMIF(项目类型,C1,'数据-汇总表'!E17:E26))</f>
        <v>700.1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134.79</v>
      </c>
      <c r="M19" s="294">
        <f>IF(C1="",'数据-汇总表'!D3,SUMIF(项目类型,C1,'数据-汇总表'!D17:D26))</f>
        <v>134.79</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121"/>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t="e">
        <f ca="1">ROUND(H101*F45,0)</f>
        <v>#REF!</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9">
        <v>1</v>
      </c>
      <c r="K46" s="3255" t="s">
        <v>1331</v>
      </c>
      <c r="L46" s="3255"/>
      <c r="M46" s="3256"/>
      <c r="N46" s="3256"/>
      <c r="O46" s="3256"/>
    </row>
    <row r="47" spans="1:15" ht="12" customHeight="1">
      <c r="A47" s="152" t="s">
        <v>1332</v>
      </c>
      <c r="B47" s="153"/>
      <c r="C47" s="154"/>
      <c r="D47" s="1024" t="s">
        <v>1333</v>
      </c>
      <c r="E47" s="294" t="s">
        <v>1334</v>
      </c>
      <c r="F47" s="155" t="s">
        <v>1335</v>
      </c>
      <c r="G47" s="2332" t="s">
        <v>1336</v>
      </c>
      <c r="H47" s="2333"/>
      <c r="I47" s="151"/>
      <c r="J47" s="2309">
        <v>2</v>
      </c>
      <c r="K47" s="3255" t="s">
        <v>1337</v>
      </c>
      <c r="L47" s="3255"/>
      <c r="M47" s="3257">
        <f>'数据-取费表'!B2</f>
        <v>45834</v>
      </c>
      <c r="N47" s="3257"/>
      <c r="O47" s="3257"/>
    </row>
    <row r="48" spans="1:15" ht="26.4">
      <c r="A48" s="3317" t="s">
        <v>1338</v>
      </c>
      <c r="B48" s="3318"/>
      <c r="C48" s="3318"/>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55" t="s">
        <v>1340</v>
      </c>
      <c r="L48" s="3255"/>
      <c r="M48" s="3258" t="e">
        <f ca="1">H101</f>
        <v>#REF!</v>
      </c>
      <c r="N48" s="3258"/>
      <c r="O48" s="3258"/>
    </row>
    <row r="49" spans="1:35" ht="25.5" customHeight="1">
      <c r="A49" s="2152" t="s">
        <v>1341</v>
      </c>
      <c r="B49" s="3303" t="s">
        <v>1342</v>
      </c>
      <c r="C49" s="3303"/>
      <c r="D49" s="1478">
        <v>0</v>
      </c>
      <c r="E49" s="316" t="s">
        <v>1343</v>
      </c>
      <c r="F49" s="2232" t="s">
        <v>28</v>
      </c>
      <c r="G49" s="3286"/>
      <c r="H49" s="2134" t="s">
        <v>2134</v>
      </c>
      <c r="I49" s="2135"/>
      <c r="J49" s="2309">
        <v>4</v>
      </c>
      <c r="K49" s="3255" t="str">
        <f>IF(项目基本情况!E8="房地产抵押价值","房地产抵押价值","抵押担保权已注销时的房地产抵押价值")</f>
        <v>房地产抵押价值</v>
      </c>
      <c r="L49" s="3255"/>
      <c r="M49" s="3258" t="str">
        <f ca="1">IF(项目基本情况!E8="房地产抵押价值",H107,H109)</f>
        <v>——</v>
      </c>
      <c r="N49" s="3258"/>
      <c r="O49" s="3258"/>
    </row>
    <row r="50" spans="1:35" ht="25.5" customHeight="1">
      <c r="A50" s="2337"/>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8"/>
      <c r="B51" s="3303" t="s">
        <v>1346</v>
      </c>
      <c r="C51" s="3303"/>
      <c r="D51" s="1024"/>
      <c r="E51" s="319"/>
      <c r="F51" s="2232"/>
      <c r="G51" s="3288"/>
      <c r="H51" s="2136" t="s">
        <v>2136</v>
      </c>
      <c r="I51" s="2135"/>
      <c r="J51" s="2310" t="s">
        <v>1347</v>
      </c>
      <c r="K51" s="3255" t="s">
        <v>1348</v>
      </c>
      <c r="L51" s="3255"/>
      <c r="M51" s="2310" t="s">
        <v>1349</v>
      </c>
      <c r="N51" s="2310" t="s">
        <v>1350</v>
      </c>
      <c r="O51" s="2310" t="s">
        <v>1351</v>
      </c>
    </row>
    <row r="52" spans="1:35" ht="24" customHeight="1">
      <c r="A52" s="2153" t="s">
        <v>1352</v>
      </c>
      <c r="B52" s="3303" t="s">
        <v>1353</v>
      </c>
      <c r="C52" s="3303"/>
      <c r="D52" s="1024" t="e">
        <f ca="1">ROUND(D45*'数据-取费表'!B41/(1+'数据-取费表'!C42),0)</f>
        <v>#REF!</v>
      </c>
      <c r="E52" s="1256" t="s">
        <v>1354</v>
      </c>
      <c r="F52" s="2339">
        <f>'数据-取费表'!B41</f>
        <v>0</v>
      </c>
      <c r="G52" s="2340"/>
      <c r="H52" s="2330"/>
      <c r="I52" s="1669"/>
      <c r="J52" s="2309">
        <v>1</v>
      </c>
      <c r="K52" s="3280" t="s">
        <v>1355</v>
      </c>
      <c r="L52" s="3280"/>
      <c r="M52" s="2311" t="b">
        <f>D48</f>
        <v>0</v>
      </c>
      <c r="N52" s="2309" t="str">
        <f>E48</f>
        <v>销售额×税（费）率</v>
      </c>
      <c r="O52" s="2312">
        <f>F48</f>
        <v>0</v>
      </c>
    </row>
    <row r="53" spans="1:35" ht="12" customHeight="1">
      <c r="A53" s="2153" t="s">
        <v>1356</v>
      </c>
      <c r="B53" s="3304" t="s">
        <v>2291</v>
      </c>
      <c r="C53" s="3305"/>
      <c r="D53" s="1024" t="e">
        <f ca="1">ROUND(D45*'数据-取费表'!B41/(1+'数据-取费表'!C42),0)</f>
        <v>#REF!</v>
      </c>
      <c r="E53" s="1256" t="s">
        <v>1354</v>
      </c>
      <c r="F53" s="2339">
        <f>'数据-取费表'!B41</f>
        <v>0</v>
      </c>
      <c r="G53" s="2340"/>
      <c r="H53" s="2330"/>
      <c r="I53" s="1669"/>
      <c r="J53" s="2309">
        <v>2</v>
      </c>
      <c r="K53" s="3280" t="s">
        <v>1357</v>
      </c>
      <c r="L53" s="3280"/>
      <c r="M53" s="2311" t="e">
        <f t="shared" ref="M53:O54" ca="1" si="0">D55</f>
        <v>#REF!</v>
      </c>
      <c r="N53" s="2309" t="str">
        <f t="shared" si="0"/>
        <v>销售额×税（费）率</v>
      </c>
      <c r="O53" s="2312" t="str">
        <f t="shared" si="0"/>
        <v>免征</v>
      </c>
    </row>
    <row r="54" spans="1:35" ht="12" customHeight="1">
      <c r="A54" s="2153" t="s">
        <v>1358</v>
      </c>
      <c r="B54" s="3304" t="s">
        <v>2292</v>
      </c>
      <c r="C54" s="3305"/>
      <c r="D54" s="1024" t="e">
        <f ca="1">C68</f>
        <v>#REF!</v>
      </c>
      <c r="E54" s="319" t="s">
        <v>1359</v>
      </c>
      <c r="F54" s="2339">
        <f>'数据-取费表'!B41</f>
        <v>0</v>
      </c>
      <c r="G54" s="2340"/>
      <c r="H54" s="2341"/>
      <c r="I54" s="1669"/>
      <c r="J54" s="2309">
        <v>3</v>
      </c>
      <c r="K54" s="3280" t="s">
        <v>1360</v>
      </c>
      <c r="L54" s="3280"/>
      <c r="M54" s="2311" t="e">
        <f t="shared" ca="1" si="0"/>
        <v>#REF!</v>
      </c>
      <c r="N54" s="2309" t="str">
        <f t="shared" si="0"/>
        <v>增值额×税（费）率</v>
      </c>
      <c r="O54" s="2313" t="str">
        <f t="shared" si="0"/>
        <v>免征</v>
      </c>
    </row>
    <row r="55" spans="1:35" ht="24" customHeight="1">
      <c r="A55" s="3340" t="s">
        <v>1361</v>
      </c>
      <c r="B55" s="3318"/>
      <c r="C55" s="3318"/>
      <c r="D55" s="12" t="e">
        <f ca="1">IF(H55="个人住宅",0,ROUND(D45*I55,0))</f>
        <v>#REF!</v>
      </c>
      <c r="E55" s="1256" t="s">
        <v>1362</v>
      </c>
      <c r="F55" s="2339" t="str">
        <f>IF(H55="正常",I55,"免征")</f>
        <v>免征</v>
      </c>
      <c r="G55" s="2340"/>
      <c r="H55" s="2336"/>
      <c r="I55" s="157">
        <f>'数据-取费表'!B49</f>
        <v>0</v>
      </c>
      <c r="J55" s="2309">
        <f>IF(H59="非个人房产","",4)</f>
        <v>4</v>
      </c>
      <c r="K55" s="3280" t="str">
        <f>IF(H59="非个人房产","——","个人所得税")</f>
        <v>个人所得税</v>
      </c>
      <c r="L55" s="3280"/>
      <c r="M55" s="2314" t="e">
        <f ca="1">D59</f>
        <v>#REF!</v>
      </c>
      <c r="N55" s="1883" t="str">
        <f>E59</f>
        <v>差额计税</v>
      </c>
      <c r="O55" s="2315">
        <f>F59</f>
        <v>0.01</v>
      </c>
    </row>
    <row r="56" spans="1:35" ht="25.2">
      <c r="A56" s="3340" t="s">
        <v>1363</v>
      </c>
      <c r="B56" s="3318"/>
      <c r="C56" s="3318"/>
      <c r="D56" s="12" t="e">
        <f ca="1">IF(H56="个人住宅",D57,D58)</f>
        <v>#REF!</v>
      </c>
      <c r="E56" s="1256" t="s">
        <v>1364</v>
      </c>
      <c r="F56" s="2339" t="str">
        <f>IF(H56="正常",F58,"免征")</f>
        <v>免征</v>
      </c>
      <c r="G56" s="2342" t="s">
        <v>1365</v>
      </c>
      <c r="H56" s="2343"/>
      <c r="I56" s="1670"/>
      <c r="J56" s="2309" t="str">
        <f>IF(项目基本情况!K6="上海银行",IF(J55="",4,J55+1),"")</f>
        <v/>
      </c>
      <c r="K56" s="3261" t="str">
        <f>IF(项目基本情况!K6="上海银行","其他处置费用","")</f>
        <v/>
      </c>
      <c r="L56" s="3262"/>
      <c r="M56" s="2311"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40"/>
      <c r="H57" s="2344"/>
      <c r="I57" s="1670"/>
      <c r="J57" s="3280">
        <f>IF(AND(J55="",J56=""),4,IF(项目基本情况!K6="上海银行",结果表!J56+1,结果表!J55+1))</f>
        <v>5</v>
      </c>
      <c r="K57" s="3280" t="s">
        <v>1367</v>
      </c>
      <c r="L57" s="2316" t="s">
        <v>1368</v>
      </c>
      <c r="M57" s="2317"/>
      <c r="N57" s="2318">
        <f ca="1">SUMIF(M52:M56,"&lt;9e307")</f>
        <v>0</v>
      </c>
      <c r="O57" s="2319"/>
      <c r="P57" s="2463" t="e">
        <f ca="1">N57/M49</f>
        <v>#VALUE!</v>
      </c>
    </row>
    <row r="58" spans="1:35" ht="25.2">
      <c r="A58" s="2153" t="s">
        <v>1352</v>
      </c>
      <c r="B58" s="3304" t="s">
        <v>1369</v>
      </c>
      <c r="C58" s="3303"/>
      <c r="D58" s="12" t="e">
        <f ca="1">IF(H58="转让取得",C81,C97)</f>
        <v>#REF!</v>
      </c>
      <c r="E58" s="1256" t="s">
        <v>1364</v>
      </c>
      <c r="F58" s="294" t="s">
        <v>28</v>
      </c>
      <c r="G58" s="2340"/>
      <c r="H58" s="2343"/>
      <c r="I58" s="1670"/>
      <c r="J58" s="3280"/>
      <c r="K58" s="3280"/>
      <c r="L58" s="2316" t="s">
        <v>1370</v>
      </c>
      <c r="M58" s="2320"/>
      <c r="N58" s="2321" t="str">
        <f ca="1">NUMBERSTRING(INT(N57*10000),2)&amp;"元整"</f>
        <v>零元整</v>
      </c>
      <c r="O58" s="2322"/>
    </row>
    <row r="59" spans="1:35" ht="24.6" thickBot="1">
      <c r="A59" s="3284" t="s">
        <v>1371</v>
      </c>
      <c r="B59" s="3285"/>
      <c r="C59" s="328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2">
        <f>J57+1</f>
        <v>6</v>
      </c>
      <c r="K59" s="3280" t="s">
        <v>1372</v>
      </c>
      <c r="L59" s="2309" t="s">
        <v>1368</v>
      </c>
      <c r="M59" s="2323"/>
      <c r="N59" s="2324" t="e">
        <f ca="1">M49-N57</f>
        <v>#VALUE!</v>
      </c>
      <c r="O59" s="2325"/>
    </row>
    <row r="60" spans="1:35" ht="12" customHeight="1">
      <c r="A60" s="1671"/>
      <c r="B60" s="646"/>
      <c r="C60" s="646"/>
      <c r="D60" s="646"/>
      <c r="E60" s="1466"/>
      <c r="F60" s="1670"/>
      <c r="G60" s="1670"/>
      <c r="H60" s="151"/>
      <c r="I60" s="121"/>
      <c r="J60" s="3283"/>
      <c r="K60" s="3280"/>
      <c r="L60" s="2316" t="s">
        <v>1370</v>
      </c>
      <c r="M60" s="2320"/>
      <c r="N60" s="2321" t="e">
        <f ca="1">NUMBERSTRING(INT(N59*10000),2)&amp;"元整"</f>
        <v>#VALUE!</v>
      </c>
      <c r="O60" s="2322"/>
    </row>
    <row r="61" spans="1:35" ht="13.8" thickBot="1">
      <c r="A61" s="3339" t="s">
        <v>1373</v>
      </c>
      <c r="B61" s="3339"/>
      <c r="C61" s="3339"/>
      <c r="D61" s="3339"/>
      <c r="E61" s="3339"/>
      <c r="F61" s="1670"/>
      <c r="G61" s="1670"/>
      <c r="H61" s="151"/>
      <c r="I61" s="121"/>
      <c r="J61" s="2309">
        <f>J59+1</f>
        <v>7</v>
      </c>
      <c r="K61" s="3280" t="s">
        <v>1374</v>
      </c>
      <c r="L61" s="3280"/>
      <c r="M61" s="2326"/>
      <c r="N61" s="2327" t="e">
        <f ca="1">ROUND(N59*10000/'数据-汇总表'!E3,0)</f>
        <v>#VALUE!</v>
      </c>
      <c r="O61" s="2328"/>
    </row>
    <row r="62" spans="1:35" ht="13.2">
      <c r="A62" s="3299" t="s">
        <v>1375</v>
      </c>
      <c r="B62" s="3300"/>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3"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3"/>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3"/>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63"/>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3"/>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5" t="s">
        <v>2129</v>
      </c>
      <c r="H90" s="326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6" t="s">
        <v>1422</v>
      </c>
      <c r="F92" s="3297"/>
      <c r="G92" s="3297"/>
      <c r="H92" s="329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70">
        <f>C4</f>
        <v>0</v>
      </c>
      <c r="D101" s="2371">
        <f>D4</f>
        <v>0</v>
      </c>
      <c r="E101" s="3259" t="s">
        <v>1431</v>
      </c>
      <c r="F101" s="3260"/>
      <c r="G101" s="1687" t="s">
        <v>1432</v>
      </c>
      <c r="H101" s="2380" t="e">
        <f ca="1">H118</f>
        <v>#REF!</v>
      </c>
      <c r="I101" s="121"/>
    </row>
    <row r="102" spans="1:35" ht="18.75" customHeight="1">
      <c r="A102" s="3291" t="s">
        <v>1433</v>
      </c>
      <c r="B102" s="2369" t="s">
        <v>1432</v>
      </c>
      <c r="C102" s="2370" t="e">
        <f ca="1">IF(D32="楼面单价",ROUND(C19,0),C19)</f>
        <v>#REF!</v>
      </c>
      <c r="D102" s="2371" t="e">
        <f ca="1">IF(D32="楼面单价",ROUND(D19,0),D19)</f>
        <v>#REF!</v>
      </c>
      <c r="E102" s="3259"/>
      <c r="F102" s="3260"/>
      <c r="G102" s="1687" t="s">
        <v>1434</v>
      </c>
      <c r="H102" s="2340" t="e">
        <f ca="1">I118</f>
        <v>#REF!</v>
      </c>
      <c r="I102" s="121"/>
    </row>
    <row r="103" spans="1:35" ht="42.75" customHeight="1">
      <c r="A103" s="3291"/>
      <c r="B103" s="2369" t="s">
        <v>1434</v>
      </c>
      <c r="C103" s="2372" t="e">
        <f ca="1">C20</f>
        <v>#REF!</v>
      </c>
      <c r="D103" s="2373" t="e">
        <f ca="1">D20</f>
        <v>#REF!</v>
      </c>
      <c r="E103" s="3252" t="s">
        <v>1435</v>
      </c>
      <c r="F103" s="3253"/>
      <c r="G103" s="1688" t="s">
        <v>1436</v>
      </c>
      <c r="H103" s="2380">
        <f>IF(D36="正常操作",H104+H105+H106,H105+H106)</f>
        <v>0</v>
      </c>
      <c r="I103" s="121"/>
    </row>
    <row r="104" spans="1:35" ht="18.75" customHeight="1">
      <c r="A104" s="329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60"/>
      <c r="G107" s="1687" t="s">
        <v>1432</v>
      </c>
      <c r="H107" s="2380" t="e">
        <f ca="1">IF(E107="——","——",H101-H103)</f>
        <v>#REF!</v>
      </c>
      <c r="I107" s="121"/>
    </row>
    <row r="108" spans="1:35" ht="18.75" customHeight="1">
      <c r="A108" s="121"/>
      <c r="B108" s="121"/>
      <c r="C108" s="121"/>
      <c r="D108" s="121"/>
      <c r="E108" s="3292"/>
      <c r="F108" s="3260"/>
      <c r="G108" s="1687" t="s">
        <v>1434</v>
      </c>
      <c r="H108" s="2340">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3" t="str">
        <f>IF(E109="——","——",H101-H105-H106)</f>
        <v>——</v>
      </c>
      <c r="I109" s="121"/>
    </row>
    <row r="110" spans="1:35" ht="18.75" customHeight="1">
      <c r="A110" s="121"/>
      <c r="B110" s="121"/>
      <c r="C110" s="121"/>
      <c r="D110" s="121"/>
      <c r="E110" s="3292"/>
      <c r="F110" s="3260"/>
      <c r="G110" s="1687" t="s">
        <v>1434</v>
      </c>
      <c r="H110" s="2340"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80" t="str">
        <f>IF(E111="——","——",N59)</f>
        <v>——</v>
      </c>
      <c r="I111" s="121"/>
    </row>
    <row r="112" spans="1:35" ht="18.75" customHeight="1" thickBot="1">
      <c r="A112" s="121"/>
      <c r="B112" s="121"/>
      <c r="C112" s="121"/>
      <c r="D112" s="121"/>
      <c r="E112" s="3294"/>
      <c r="F112" s="3295"/>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5" t="str">
        <f>项目基本情况!S2</f>
        <v>北京市海淀区王庄路1号院2号楼17层A房地产</v>
      </c>
      <c r="B118" s="2150">
        <f>M18</f>
        <v>700.1</v>
      </c>
      <c r="C118" s="2150">
        <f>M19</f>
        <v>134.79</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7" t="s">
        <v>1452</v>
      </c>
      <c r="B119" s="3267"/>
      <c r="C119" s="3267"/>
      <c r="D119" s="3273" t="e">
        <f ca="1">NUMBERSTRING(INT(D118*10000),2)&amp;"元整"</f>
        <v>#REF!</v>
      </c>
      <c r="E119" s="3274"/>
      <c r="F119" s="3273" t="e">
        <f ca="1">NUMBERSTRING(INT(F118*10000),2)&amp;"元整"</f>
        <v>#REF!</v>
      </c>
      <c r="G119" s="3274"/>
      <c r="H119" s="3273" t="e">
        <f ca="1">NUMBERSTRING(INT(H118*10000),2)&amp;"元整"</f>
        <v>#REF!</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t="e">
        <f ca="1">H107</f>
        <v>#REF!</v>
      </c>
      <c r="E122" s="3269"/>
      <c r="F122" s="3269"/>
      <c r="G122" s="3269"/>
      <c r="H122" s="3269"/>
      <c r="I122" s="3270"/>
      <c r="AA122" s="684"/>
    </row>
    <row r="123" spans="1:27" ht="18.75" customHeight="1">
      <c r="A123" s="3267" t="s">
        <v>1452</v>
      </c>
      <c r="B123" s="3267"/>
      <c r="C123" s="3267"/>
      <c r="D123" s="3273" t="e">
        <f ca="1">NUMBERSTRING(INT(D122*10000),2)&amp;"元整"</f>
        <v>#REF!</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700.1</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700.1</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700.1</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6" t="s">
        <v>1544</v>
      </c>
    </row>
    <row r="43" spans="1:7" ht="13.5" customHeight="1">
      <c r="A43" s="734" t="s">
        <v>347</v>
      </c>
      <c r="B43" s="207" t="s">
        <v>1545</v>
      </c>
      <c r="C43" s="230" t="e">
        <f ca="1">ROUND(IF('数据-取费表'!B22&lt;=1,C39*F22*'数据-取费表'!B21/2,C39*(POWER((1+F22),'数据-取费表'!B21/2)-1)),0)</f>
        <v>#VALUE!</v>
      </c>
      <c r="D43" s="230"/>
      <c r="E43" s="230"/>
      <c r="F43" s="231"/>
      <c r="G43" s="3347"/>
    </row>
    <row r="44" spans="1:7" ht="13.5" customHeight="1">
      <c r="A44" s="734" t="s">
        <v>348</v>
      </c>
      <c r="B44" s="207" t="s">
        <v>1546</v>
      </c>
      <c r="C44" s="230" t="e">
        <f ca="1">ROUND(IF('数据-取费表'!B22&lt;=1,C40*F22*'数据-取费表'!B21/2,C40*(POWER((1+F22),'数据-取费表'!B21/2)-1)),4)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700.1</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700.1</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700.1</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6" t="s">
        <v>1591</v>
      </c>
    </row>
    <row r="43" spans="1:7" ht="13.5" customHeight="1">
      <c r="A43" s="734" t="s">
        <v>347</v>
      </c>
      <c r="B43" s="207" t="s">
        <v>1545</v>
      </c>
      <c r="C43" s="230" t="e">
        <f ca="1">ROUND(IF('数据-取费表'!B22&lt;=1,C39*F22*'数据-取费表'!B20/2,C39*(POWER((1+F22),'数据-取费表'!B20/2)-1)),0)</f>
        <v>#VALUE!</v>
      </c>
      <c r="D43" s="230"/>
      <c r="E43" s="230"/>
      <c r="F43" s="231"/>
      <c r="G43" s="3347"/>
    </row>
    <row r="44" spans="1:7" ht="13.5" customHeight="1">
      <c r="A44" s="734" t="s">
        <v>348</v>
      </c>
      <c r="B44" s="207" t="s">
        <v>1546</v>
      </c>
      <c r="C44" s="230" t="e">
        <f ca="1">ROUND(IF('数据-取费表'!B22&lt;=1,C40*F22*'数据-取费表'!B20/2,C40*(POWER((1+F22),'数据-取费表'!B20/2)-1)),4)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700.1</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700.1</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4" t="s">
        <v>2317</v>
      </c>
      <c r="K2" s="335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6" t="s">
        <v>2327</v>
      </c>
      <c r="K3" s="335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6" t="s">
        <v>2329</v>
      </c>
      <c r="K4" s="335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8" t="s">
        <v>2333</v>
      </c>
      <c r="B6" s="3359"/>
      <c r="C6" s="3360"/>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5" t="s">
        <v>2347</v>
      </c>
      <c r="C8" s="3366"/>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5" t="s">
        <v>2353</v>
      </c>
      <c r="C9" s="3366"/>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2" customHeight="1">
      <c r="A10" s="2638">
        <v>2</v>
      </c>
      <c r="B10" s="3365" t="s">
        <v>2356</v>
      </c>
      <c r="C10" s="3366"/>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2" customHeight="1">
      <c r="A11" s="2638">
        <v>3</v>
      </c>
      <c r="B11" s="3365" t="s">
        <v>2359</v>
      </c>
      <c r="C11" s="3366"/>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4" t="s">
        <v>2317</v>
      </c>
      <c r="K32" s="335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6" t="s">
        <v>2327</v>
      </c>
      <c r="K33" s="335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6" t="s">
        <v>2329</v>
      </c>
      <c r="K34" s="335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3" t="s">
        <v>1654</v>
      </c>
      <c r="C5" s="3374"/>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700.1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c r="A5" s="348"/>
      <c r="B5" s="349"/>
      <c r="C5" s="3386" t="s">
        <v>1673</v>
      </c>
      <c r="D5" s="3387"/>
      <c r="E5" s="3384" t="s">
        <v>1674</v>
      </c>
      <c r="F5" s="3385"/>
      <c r="G5" s="3386" t="s">
        <v>1675</v>
      </c>
      <c r="H5" s="3387"/>
      <c r="I5" s="3386" t="s">
        <v>1676</v>
      </c>
      <c r="J5" s="3387"/>
      <c r="K5" s="1745"/>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700.1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405"/>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405"/>
      <c r="AC6" s="3377"/>
    </row>
    <row r="7" spans="1:29" s="102" customFormat="1" ht="15" thickBot="1">
      <c r="A7" s="352" t="s">
        <v>1679</v>
      </c>
      <c r="B7" s="353"/>
      <c r="C7" s="354">
        <f>'数据-取费表'!B2</f>
        <v>45834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受贵公司委托，我公司对北京市海淀区王庄路1号院2号楼17层A房地产抵押价值进行了预评估。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估价对象为北京市海淀区王庄路1号院2号楼17层A房地产，为北京凤凰意创科技有限公司所有。根据《国有土地使用证》[]，估价对象（分摊）出让国有建设用地使用权面积为134.79平方米，建筑面积为700.1平方米。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王庄路1号院2号楼17层A房地产,属北京凤凰意创科技有限公司开发建设的办公项目，该项目尚在开发建设中。根据《国有土地使用证》[]，估价对象（分摊）出让国有建设用地使用权面积为134.79平方米，规划建筑面积为700.1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海淀区王庄路1号院2号楼17层A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700.1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426" t="s">
        <v>1775</v>
      </c>
      <c r="Q4" s="3427"/>
      <c r="R4" s="3421" t="s">
        <v>1771</v>
      </c>
      <c r="S4" s="3422"/>
      <c r="T4" s="3421" t="s">
        <v>1772</v>
      </c>
      <c r="U4" s="3422"/>
      <c r="V4" s="3430" t="s">
        <v>1773</v>
      </c>
      <c r="W4" s="3430"/>
      <c r="X4" s="1809"/>
      <c r="Y4" s="3421" t="s">
        <v>1775</v>
      </c>
      <c r="Z4" s="3422"/>
      <c r="AA4" s="3420" t="s">
        <v>1771</v>
      </c>
      <c r="AB4" s="3420" t="s">
        <v>1772</v>
      </c>
      <c r="AC4" s="3423" t="s">
        <v>1773</v>
      </c>
    </row>
    <row r="5" spans="1:29">
      <c r="A5" s="348"/>
      <c r="B5" s="349"/>
      <c r="C5" s="3386" t="s">
        <v>1673</v>
      </c>
      <c r="D5" s="3387"/>
      <c r="E5" s="3384" t="s">
        <v>1674</v>
      </c>
      <c r="F5" s="3385"/>
      <c r="G5" s="3386" t="s">
        <v>1675</v>
      </c>
      <c r="H5" s="3387"/>
      <c r="I5" s="3386" t="s">
        <v>1676</v>
      </c>
      <c r="J5" s="3387"/>
      <c r="K5" s="537"/>
      <c r="L5" s="2485"/>
      <c r="M5" s="2486"/>
      <c r="N5" s="2486"/>
      <c r="O5" s="2486"/>
      <c r="P5" s="3428"/>
      <c r="Q5" s="3400"/>
      <c r="R5" s="3382"/>
      <c r="S5" s="3383"/>
      <c r="T5" s="3382"/>
      <c r="U5" s="3383"/>
      <c r="V5" s="3405"/>
      <c r="W5" s="3405"/>
      <c r="X5" s="1265"/>
      <c r="Y5" s="3382"/>
      <c r="Z5" s="3383"/>
      <c r="AA5" s="3376"/>
      <c r="AB5" s="3376"/>
      <c r="AC5" s="3424"/>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29"/>
      <c r="Q6" s="3402"/>
      <c r="R6" s="3382"/>
      <c r="S6" s="3383"/>
      <c r="T6" s="3403"/>
      <c r="U6" s="3404"/>
      <c r="V6" s="3405"/>
      <c r="W6" s="3405"/>
      <c r="X6" s="1265"/>
      <c r="Y6" s="3403"/>
      <c r="Z6" s="3404"/>
      <c r="AA6" s="3377"/>
      <c r="AB6" s="3377"/>
      <c r="AC6" s="3425"/>
    </row>
    <row r="7" spans="1:29" s="102" customFormat="1" ht="15" thickBot="1">
      <c r="A7" s="352" t="s">
        <v>1679</v>
      </c>
      <c r="B7" s="353"/>
      <c r="C7" s="354">
        <f>'数据-取费表'!B2</f>
        <v>45834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1"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1" t="s">
        <v>1683</v>
      </c>
      <c r="Q8" s="3379"/>
      <c r="R8" s="664" t="s">
        <v>14</v>
      </c>
      <c r="S8" s="665">
        <f t="shared" si="0"/>
        <v>100</v>
      </c>
      <c r="T8" s="664" t="s">
        <v>14</v>
      </c>
      <c r="U8" s="665">
        <f t="shared" si="1"/>
        <v>100</v>
      </c>
      <c r="V8" s="664" t="s">
        <v>14</v>
      </c>
      <c r="W8" s="665">
        <f t="shared" si="2"/>
        <v>100</v>
      </c>
      <c r="X8" s="666"/>
      <c r="Y8" s="3378" t="s">
        <v>1683</v>
      </c>
      <c r="Z8" s="337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1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4"/>
      <c r="Q34" s="531" t="str">
        <f t="shared" si="11"/>
        <v>项目建筑规模</v>
      </c>
      <c r="R34" s="669" t="s">
        <v>14</v>
      </c>
      <c r="S34" s="670" t="e">
        <f t="shared" si="12"/>
        <v>#N/A</v>
      </c>
      <c r="T34" s="669" t="s">
        <v>14</v>
      </c>
      <c r="U34" s="670" t="e">
        <f t="shared" si="13"/>
        <v>#N/A</v>
      </c>
      <c r="V34" s="669" t="s">
        <v>14</v>
      </c>
      <c r="W34" s="670" t="e">
        <f t="shared" si="14"/>
        <v>#N/A</v>
      </c>
      <c r="X34" s="671"/>
      <c r="Y34" s="341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4"/>
      <c r="Q37" s="1263" t="str">
        <f t="shared" si="11"/>
        <v>成新度</v>
      </c>
      <c r="R37" s="667" t="s">
        <v>14</v>
      </c>
      <c r="S37" s="668" t="e">
        <f t="shared" si="12"/>
        <v>#N/A</v>
      </c>
      <c r="T37" s="667" t="s">
        <v>14</v>
      </c>
      <c r="U37" s="668" t="e">
        <f t="shared" si="13"/>
        <v>#N/A</v>
      </c>
      <c r="V37" s="667" t="s">
        <v>14</v>
      </c>
      <c r="W37" s="668" t="e">
        <f t="shared" si="14"/>
        <v>#N/A</v>
      </c>
      <c r="X37" s="1265"/>
      <c r="Y37" s="341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0"/>
      <c r="Q10" s="530" t="str">
        <f t="shared" si="6"/>
        <v>土地使用年限（年）</v>
      </c>
      <c r="R10" s="664" t="s">
        <v>14</v>
      </c>
      <c r="S10" s="665" t="e">
        <f t="shared" si="0"/>
        <v>#DIV/0!</v>
      </c>
      <c r="T10" s="664" t="s">
        <v>14</v>
      </c>
      <c r="U10" s="665" t="e">
        <f t="shared" si="1"/>
        <v>#DIV/0!</v>
      </c>
      <c r="V10" s="664" t="s">
        <v>14</v>
      </c>
      <c r="W10" s="665" t="e">
        <f t="shared" si="2"/>
        <v>#DIV/0!</v>
      </c>
      <c r="X10" s="666"/>
      <c r="Y10" s="332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5"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38" t="e">
        <f>ROUND(IF(D47="简单平均",AVERAGE(R47:W47),R47*F47+T47*H47+V47*J47),0)</f>
        <v>#DIV/0!</v>
      </c>
      <c r="S48" s="3438"/>
      <c r="T48" s="3438"/>
      <c r="U48" s="3438"/>
      <c r="V48" s="3438"/>
      <c r="W48" s="343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700.1</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700.1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440" t="s">
        <v>1919</v>
      </c>
      <c r="D6" s="3441"/>
      <c r="E6" s="3442" t="s">
        <v>1919</v>
      </c>
      <c r="F6" s="3443"/>
      <c r="G6" s="3440" t="s">
        <v>1919</v>
      </c>
      <c r="H6" s="3441"/>
      <c r="I6" s="3440" t="s">
        <v>1919</v>
      </c>
      <c r="J6" s="3441"/>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45834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0"/>
      <c r="Q10" s="530" t="str">
        <f t="shared" si="6"/>
        <v>土地使用年限（年）</v>
      </c>
      <c r="R10" s="664" t="s">
        <v>14</v>
      </c>
      <c r="S10" s="665" t="e">
        <f t="shared" si="0"/>
        <v>#DIV/0!</v>
      </c>
      <c r="T10" s="664" t="s">
        <v>14</v>
      </c>
      <c r="U10" s="665" t="e">
        <f t="shared" si="1"/>
        <v>#DIV/0!</v>
      </c>
      <c r="V10" s="664" t="s">
        <v>14</v>
      </c>
      <c r="W10" s="665" t="e">
        <f t="shared" si="2"/>
        <v>#DIV/0!</v>
      </c>
      <c r="X10" s="666"/>
      <c r="Y10" s="332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5"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38" t="e">
        <f>ROUND(IF(D42="简单平均",AVERAGE(R42:W42),R42*F42+T42*H42+V42*J42),0)</f>
        <v>#DIV/0!</v>
      </c>
      <c r="S43" s="3438"/>
      <c r="T43" s="3438"/>
      <c r="U43" s="3438"/>
      <c r="V43" s="3438"/>
      <c r="W43" s="343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700.1</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134.79</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6"/>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1" t="s">
        <v>3254</v>
      </c>
      <c r="B20" s="159" t="s">
        <v>1994</v>
      </c>
      <c r="C20" s="3030" t="e">
        <f>ROUND(IF(F21="与级别开发程度一致",0,(G21-E21)/C21),0)</f>
        <v>#DIV/0!</v>
      </c>
      <c r="D20" s="3045" t="s">
        <v>1998</v>
      </c>
      <c r="E20" s="3046"/>
      <c r="F20" s="3467" t="s">
        <v>1995</v>
      </c>
      <c r="G20" s="346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45834</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3" t="s">
        <v>3294</v>
      </c>
      <c r="B103" s="3463"/>
      <c r="C103" s="3463"/>
      <c r="D103" s="3463"/>
      <c r="E103" s="3463"/>
      <c r="F103" s="3463"/>
      <c r="G103" s="3463"/>
      <c r="H103" s="3463"/>
      <c r="I103" s="3463"/>
      <c r="J103" s="3463"/>
      <c r="K103" s="1667"/>
      <c r="L103" s="1667"/>
      <c r="M103" s="1667"/>
      <c r="N103" s="1667"/>
    </row>
    <row r="104" spans="1:14">
      <c r="A104" s="3464" t="s">
        <v>3295</v>
      </c>
      <c r="B104" s="3464" t="s">
        <v>3296</v>
      </c>
      <c r="C104" s="3089" t="s">
        <v>3297</v>
      </c>
      <c r="D104" s="3090"/>
      <c r="E104" s="3090"/>
      <c r="F104" s="3090"/>
      <c r="G104" s="3090"/>
      <c r="H104" s="3090"/>
      <c r="I104" s="3090"/>
      <c r="J104" s="3091"/>
      <c r="K104" s="3092"/>
      <c r="L104" s="3092"/>
      <c r="M104" s="3092"/>
      <c r="N104" s="3092"/>
    </row>
    <row r="105" spans="1:14">
      <c r="A105" s="3464"/>
      <c r="B105" s="3464"/>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0"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1"/>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3" t="s">
        <v>3311</v>
      </c>
      <c r="B113" s="3453"/>
      <c r="C113" s="3453"/>
      <c r="D113" s="3453"/>
      <c r="E113" s="3453"/>
      <c r="F113" s="3453"/>
      <c r="G113" s="3453"/>
      <c r="H113" s="3453"/>
      <c r="I113" s="3453"/>
      <c r="J113" s="345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6" t="s">
        <v>2607</v>
      </c>
      <c r="B20" s="3469" t="s">
        <v>2628</v>
      </c>
      <c r="C20" s="2841" t="s">
        <v>2439</v>
      </c>
      <c r="D20" s="2842"/>
      <c r="E20" s="2843">
        <v>1</v>
      </c>
      <c r="F20" s="2844" t="s">
        <v>2440</v>
      </c>
      <c r="G20" s="2844"/>
    </row>
    <row r="21" spans="1:13" ht="19.5" customHeight="1">
      <c r="A21" s="3477"/>
      <c r="B21" s="3470"/>
      <c r="C21" s="2845" t="s">
        <v>2441</v>
      </c>
      <c r="D21" s="2846"/>
      <c r="E21" s="2847">
        <v>1</v>
      </c>
      <c r="F21" s="2844" t="s">
        <v>2442</v>
      </c>
      <c r="G21" s="2844"/>
    </row>
    <row r="22" spans="1:13" ht="19.5" customHeight="1">
      <c r="A22" s="3477"/>
      <c r="B22" s="3470"/>
      <c r="C22" s="2845" t="s">
        <v>2443</v>
      </c>
      <c r="D22" s="2846"/>
      <c r="E22" s="2847">
        <v>0.9</v>
      </c>
      <c r="F22" s="2844" t="s">
        <v>2444</v>
      </c>
      <c r="G22" s="2844"/>
    </row>
    <row r="23" spans="1:13" ht="19.5" customHeight="1">
      <c r="A23" s="3477"/>
      <c r="B23" s="3470"/>
      <c r="C23" s="2845" t="s">
        <v>2445</v>
      </c>
      <c r="D23" s="2846"/>
      <c r="E23" s="2847">
        <v>0.9</v>
      </c>
      <c r="F23" s="2844" t="s">
        <v>2446</v>
      </c>
      <c r="G23" s="2844"/>
    </row>
    <row r="24" spans="1:13" ht="19.5" customHeight="1">
      <c r="A24" s="3477"/>
      <c r="B24" s="3470"/>
      <c r="C24" s="2845" t="s">
        <v>2447</v>
      </c>
      <c r="D24" s="2846"/>
      <c r="E24" s="2847">
        <v>0.8</v>
      </c>
      <c r="F24" s="2844" t="s">
        <v>2448</v>
      </c>
      <c r="G24" s="2844"/>
    </row>
    <row r="25" spans="1:13" ht="19.5" customHeight="1" thickBot="1">
      <c r="A25" s="3478"/>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69" t="s">
        <v>2612</v>
      </c>
      <c r="C27" s="2841" t="s">
        <v>2452</v>
      </c>
      <c r="D27" s="2842"/>
      <c r="E27" s="2843">
        <v>1</v>
      </c>
      <c r="F27" s="2844" t="s">
        <v>2453</v>
      </c>
      <c r="G27" s="2844"/>
    </row>
    <row r="28" spans="1:13" ht="19.5" customHeight="1">
      <c r="A28" s="3473"/>
      <c r="B28" s="3470"/>
      <c r="C28" s="2845" t="s">
        <v>2454</v>
      </c>
      <c r="D28" s="2846"/>
      <c r="E28" s="2847">
        <v>1</v>
      </c>
      <c r="F28" s="2844" t="s">
        <v>2455</v>
      </c>
      <c r="G28" s="2844"/>
    </row>
    <row r="29" spans="1:13" ht="19.5" customHeight="1">
      <c r="A29" s="3473"/>
      <c r="B29" s="3470"/>
      <c r="C29" s="2845" t="s">
        <v>2456</v>
      </c>
      <c r="D29" s="2846"/>
      <c r="E29" s="2847">
        <v>0.8</v>
      </c>
      <c r="F29" s="2844" t="s">
        <v>2457</v>
      </c>
      <c r="G29" s="2844"/>
    </row>
    <row r="30" spans="1:13" ht="19.5" customHeight="1">
      <c r="A30" s="3473"/>
      <c r="B30" s="3470"/>
      <c r="C30" s="2845" t="s">
        <v>2458</v>
      </c>
      <c r="D30" s="2846"/>
      <c r="E30" s="2847">
        <v>0.8</v>
      </c>
      <c r="F30" s="2844" t="s">
        <v>2459</v>
      </c>
      <c r="G30" s="2844"/>
    </row>
    <row r="31" spans="1:13" ht="19.5" customHeight="1">
      <c r="A31" s="3473"/>
      <c r="B31" s="3470"/>
      <c r="C31" s="2845" t="s">
        <v>2460</v>
      </c>
      <c r="D31" s="2846"/>
      <c r="E31" s="2847">
        <v>0.8</v>
      </c>
      <c r="F31" s="2844" t="s">
        <v>2461</v>
      </c>
      <c r="G31" s="2844"/>
    </row>
    <row r="32" spans="1:13" ht="19.5" customHeight="1">
      <c r="A32" s="3473"/>
      <c r="B32" s="3470"/>
      <c r="C32" s="2845" t="s">
        <v>2462</v>
      </c>
      <c r="D32" s="2846"/>
      <c r="E32" s="2847">
        <v>0.7</v>
      </c>
      <c r="F32" s="2844" t="s">
        <v>2463</v>
      </c>
      <c r="G32" s="2844"/>
    </row>
    <row r="33" spans="1:7" ht="19.5" customHeight="1">
      <c r="A33" s="3473"/>
      <c r="B33" s="3470"/>
      <c r="C33" s="2845" t="s">
        <v>2464</v>
      </c>
      <c r="D33" s="2846"/>
      <c r="E33" s="2847">
        <v>0.8</v>
      </c>
      <c r="F33" s="2844" t="s">
        <v>2465</v>
      </c>
      <c r="G33" s="2844"/>
    </row>
    <row r="34" spans="1:7" ht="19.5" customHeight="1">
      <c r="A34" s="3473"/>
      <c r="B34" s="3470"/>
      <c r="C34" s="2845" t="s">
        <v>2466</v>
      </c>
      <c r="D34" s="2846"/>
      <c r="E34" s="2847">
        <v>0.6</v>
      </c>
      <c r="F34" s="2844" t="s">
        <v>2467</v>
      </c>
      <c r="G34" s="2844"/>
    </row>
    <row r="35" spans="1:7" ht="19.5" customHeight="1">
      <c r="A35" s="3473"/>
      <c r="B35" s="3470"/>
      <c r="C35" s="2845" t="s">
        <v>2468</v>
      </c>
      <c r="D35" s="2846"/>
      <c r="E35" s="2847">
        <v>0.2</v>
      </c>
      <c r="F35" s="2844" t="s">
        <v>2469</v>
      </c>
      <c r="G35" s="2844"/>
    </row>
    <row r="36" spans="1:7" ht="19.5" customHeight="1">
      <c r="A36" s="3473"/>
      <c r="B36" s="3470"/>
      <c r="C36" s="2845" t="s">
        <v>2470</v>
      </c>
      <c r="D36" s="2846"/>
      <c r="E36" s="2847">
        <v>0.2</v>
      </c>
      <c r="F36" s="2844" t="s">
        <v>2471</v>
      </c>
      <c r="G36" s="2844"/>
    </row>
    <row r="37" spans="1:7" ht="19.5" customHeight="1">
      <c r="A37" s="3473"/>
      <c r="B37" s="3475" t="s">
        <v>2632</v>
      </c>
      <c r="C37" s="2845" t="s">
        <v>2472</v>
      </c>
      <c r="D37" s="2846"/>
      <c r="E37" s="2847">
        <v>0.6</v>
      </c>
      <c r="F37" s="2844" t="s">
        <v>2473</v>
      </c>
      <c r="G37" s="2844"/>
    </row>
    <row r="38" spans="1:7" ht="19.5" customHeight="1">
      <c r="A38" s="3473"/>
      <c r="B38" s="3470"/>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6" t="s">
        <v>2610</v>
      </c>
      <c r="B41" s="3469" t="s">
        <v>2634</v>
      </c>
      <c r="C41" s="2841" t="s">
        <v>2479</v>
      </c>
      <c r="D41" s="2842"/>
      <c r="E41" s="2843">
        <v>1</v>
      </c>
      <c r="F41" s="2844" t="s">
        <v>2480</v>
      </c>
      <c r="G41" s="2844"/>
    </row>
    <row r="42" spans="1:7" ht="19.5" customHeight="1">
      <c r="A42" s="3477"/>
      <c r="B42" s="3470"/>
      <c r="C42" s="2845" t="s">
        <v>2481</v>
      </c>
      <c r="D42" s="2846"/>
      <c r="E42" s="2847">
        <v>1</v>
      </c>
      <c r="F42" s="2844" t="s">
        <v>2482</v>
      </c>
      <c r="G42" s="2844"/>
    </row>
    <row r="43" spans="1:7" ht="19.5" customHeight="1">
      <c r="A43" s="3477"/>
      <c r="B43" s="3479"/>
      <c r="C43" s="2845" t="s">
        <v>2483</v>
      </c>
      <c r="D43" s="2846"/>
      <c r="E43" s="2847">
        <v>1.5</v>
      </c>
      <c r="F43" s="2844" t="s">
        <v>2484</v>
      </c>
      <c r="G43" s="2844"/>
    </row>
    <row r="44" spans="1:7" ht="19.5" customHeight="1">
      <c r="A44" s="3477"/>
      <c r="B44" s="2856" t="s">
        <v>2635</v>
      </c>
      <c r="C44" s="2845" t="s">
        <v>2636</v>
      </c>
      <c r="D44" s="2846"/>
      <c r="E44" s="2847">
        <v>2</v>
      </c>
      <c r="F44" s="2844" t="s">
        <v>2485</v>
      </c>
      <c r="G44" s="2844"/>
    </row>
    <row r="45" spans="1:7" ht="19.5" customHeight="1">
      <c r="A45" s="3477"/>
      <c r="B45" s="3475" t="s">
        <v>2637</v>
      </c>
      <c r="C45" s="2845" t="s">
        <v>2486</v>
      </c>
      <c r="D45" s="2846"/>
      <c r="E45" s="2847">
        <v>1</v>
      </c>
      <c r="F45" s="2844" t="s">
        <v>2487</v>
      </c>
      <c r="G45" s="2844"/>
    </row>
    <row r="46" spans="1:7" ht="19.5" customHeight="1">
      <c r="A46" s="3477"/>
      <c r="B46" s="3470"/>
      <c r="C46" s="2845" t="s">
        <v>2488</v>
      </c>
      <c r="D46" s="2846"/>
      <c r="E46" s="2847">
        <v>1</v>
      </c>
      <c r="F46" s="2844" t="s">
        <v>2489</v>
      </c>
      <c r="G46" s="2844"/>
    </row>
    <row r="47" spans="1:7" ht="19.5" customHeight="1">
      <c r="A47" s="3477"/>
      <c r="B47" s="3470"/>
      <c r="C47" s="2845" t="s">
        <v>2490</v>
      </c>
      <c r="D47" s="2846"/>
      <c r="E47" s="2847">
        <v>1</v>
      </c>
      <c r="F47" s="2844" t="s">
        <v>2491</v>
      </c>
      <c r="G47" s="2844"/>
    </row>
    <row r="48" spans="1:7" ht="19.5" customHeight="1">
      <c r="A48" s="3477"/>
      <c r="B48" s="3470"/>
      <c r="C48" s="2845" t="s">
        <v>2492</v>
      </c>
      <c r="D48" s="2846"/>
      <c r="E48" s="2847">
        <v>1</v>
      </c>
      <c r="F48" s="2844" t="s">
        <v>2493</v>
      </c>
      <c r="G48" s="2844"/>
    </row>
    <row r="49" spans="1:7" ht="19.5" customHeight="1">
      <c r="A49" s="3477"/>
      <c r="B49" s="3470"/>
      <c r="C49" s="2845" t="s">
        <v>2494</v>
      </c>
      <c r="D49" s="2846"/>
      <c r="E49" s="2847">
        <v>1</v>
      </c>
      <c r="F49" s="2844" t="s">
        <v>2495</v>
      </c>
      <c r="G49" s="2844"/>
    </row>
    <row r="50" spans="1:7" ht="19.5" customHeight="1">
      <c r="A50" s="3477"/>
      <c r="B50" s="3470"/>
      <c r="C50" s="2845" t="s">
        <v>2496</v>
      </c>
      <c r="D50" s="2846"/>
      <c r="E50" s="2847">
        <v>1</v>
      </c>
      <c r="F50" s="2844" t="s">
        <v>2497</v>
      </c>
      <c r="G50" s="2844"/>
    </row>
    <row r="51" spans="1:7" ht="19.5" customHeight="1" thickBot="1">
      <c r="A51" s="3478"/>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5" t="s">
        <v>2651</v>
      </c>
      <c r="C73" s="2830" t="s">
        <v>2652</v>
      </c>
      <c r="D73" s="2830" t="s">
        <v>2653</v>
      </c>
      <c r="E73" s="2856">
        <v>0.2</v>
      </c>
      <c r="F73" s="2856">
        <v>25</v>
      </c>
    </row>
    <row r="74" spans="1:7" ht="24">
      <c r="A74" s="2856">
        <v>2</v>
      </c>
      <c r="B74" s="3470"/>
      <c r="C74" s="2830" t="s">
        <v>2654</v>
      </c>
      <c r="D74" s="2830" t="s">
        <v>2655</v>
      </c>
      <c r="E74" s="2856">
        <v>0.2</v>
      </c>
      <c r="F74" s="2856">
        <v>25</v>
      </c>
    </row>
    <row r="75" spans="1:7" ht="24">
      <c r="A75" s="2856">
        <v>3</v>
      </c>
      <c r="B75" s="3470"/>
      <c r="C75" s="2830" t="s">
        <v>2656</v>
      </c>
      <c r="D75" s="2830" t="s">
        <v>2657</v>
      </c>
      <c r="E75" s="2856">
        <v>0.2</v>
      </c>
      <c r="F75" s="2856">
        <v>25</v>
      </c>
    </row>
    <row r="76" spans="1:7" ht="14.4">
      <c r="A76" s="2856">
        <v>4</v>
      </c>
      <c r="B76" s="3470"/>
      <c r="C76" s="2830" t="s">
        <v>2658</v>
      </c>
      <c r="D76" s="2830" t="s">
        <v>2659</v>
      </c>
      <c r="E76" s="2856">
        <v>0.15</v>
      </c>
      <c r="F76" s="2856">
        <v>20</v>
      </c>
    </row>
    <row r="77" spans="1:7" ht="24">
      <c r="A77" s="2856">
        <v>5</v>
      </c>
      <c r="B77" s="3470"/>
      <c r="C77" s="2830" t="s">
        <v>2660</v>
      </c>
      <c r="D77" s="2830" t="s">
        <v>2661</v>
      </c>
      <c r="E77" s="2856">
        <v>0.15</v>
      </c>
      <c r="F77" s="2856">
        <v>20</v>
      </c>
    </row>
    <row r="78" spans="1:7" ht="24">
      <c r="A78" s="2856">
        <v>6</v>
      </c>
      <c r="B78" s="3470"/>
      <c r="C78" s="2830" t="s">
        <v>2662</v>
      </c>
      <c r="D78" s="2830" t="s">
        <v>2663</v>
      </c>
      <c r="E78" s="2856">
        <v>0.15</v>
      </c>
      <c r="F78" s="2856">
        <v>20</v>
      </c>
    </row>
    <row r="79" spans="1:7" ht="24">
      <c r="A79" s="2856">
        <v>7</v>
      </c>
      <c r="B79" s="3470"/>
      <c r="C79" s="2830" t="s">
        <v>2664</v>
      </c>
      <c r="D79" s="2830" t="s">
        <v>2665</v>
      </c>
      <c r="E79" s="2856">
        <v>0.15</v>
      </c>
      <c r="F79" s="2856">
        <v>20</v>
      </c>
    </row>
    <row r="80" spans="1:7" ht="24">
      <c r="A80" s="2856">
        <v>8</v>
      </c>
      <c r="B80" s="3470"/>
      <c r="C80" s="2830" t="s">
        <v>2666</v>
      </c>
      <c r="D80" s="2830" t="s">
        <v>2667</v>
      </c>
      <c r="E80" s="2856">
        <v>0.1</v>
      </c>
      <c r="F80" s="2856">
        <v>15</v>
      </c>
    </row>
    <row r="81" spans="1:6" ht="24">
      <c r="A81" s="2856">
        <v>9</v>
      </c>
      <c r="B81" s="3470"/>
      <c r="C81" s="2830" t="s">
        <v>2668</v>
      </c>
      <c r="D81" s="2830" t="s">
        <v>2669</v>
      </c>
      <c r="E81" s="2856">
        <v>0.1</v>
      </c>
      <c r="F81" s="2856">
        <v>15</v>
      </c>
    </row>
    <row r="82" spans="1:6" ht="24">
      <c r="A82" s="2856">
        <v>10</v>
      </c>
      <c r="B82" s="3470"/>
      <c r="C82" s="2830" t="s">
        <v>2670</v>
      </c>
      <c r="D82" s="2830" t="s">
        <v>2671</v>
      </c>
      <c r="E82" s="2856">
        <v>0.1</v>
      </c>
      <c r="F82" s="2856">
        <v>15</v>
      </c>
    </row>
    <row r="83" spans="1:6" ht="24">
      <c r="A83" s="2856">
        <v>11</v>
      </c>
      <c r="B83" s="3470"/>
      <c r="C83" s="2830" t="s">
        <v>2672</v>
      </c>
      <c r="D83" s="2830" t="s">
        <v>2673</v>
      </c>
      <c r="E83" s="2856">
        <v>0.1</v>
      </c>
      <c r="F83" s="2856">
        <v>15</v>
      </c>
    </row>
    <row r="84" spans="1:6" ht="24">
      <c r="A84" s="2856">
        <v>12</v>
      </c>
      <c r="B84" s="3470"/>
      <c r="C84" s="2830" t="s">
        <v>2674</v>
      </c>
      <c r="D84" s="2830" t="s">
        <v>2675</v>
      </c>
      <c r="E84" s="2856">
        <v>0.1</v>
      </c>
      <c r="F84" s="2856">
        <v>15</v>
      </c>
    </row>
    <row r="85" spans="1:6" ht="24">
      <c r="A85" s="2856">
        <v>13</v>
      </c>
      <c r="B85" s="3470"/>
      <c r="C85" s="2830" t="s">
        <v>2676</v>
      </c>
      <c r="D85" s="2830" t="s">
        <v>2677</v>
      </c>
      <c r="E85" s="2856">
        <v>0.1</v>
      </c>
      <c r="F85" s="2856">
        <v>15</v>
      </c>
    </row>
    <row r="86" spans="1:6" ht="24">
      <c r="A86" s="2856">
        <v>14</v>
      </c>
      <c r="B86" s="3470"/>
      <c r="C86" s="2830" t="s">
        <v>2678</v>
      </c>
      <c r="D86" s="2830" t="s">
        <v>2679</v>
      </c>
      <c r="E86" s="2856">
        <v>0.1</v>
      </c>
      <c r="F86" s="2856">
        <v>15</v>
      </c>
    </row>
    <row r="87" spans="1:6" ht="24">
      <c r="A87" s="2856">
        <v>15</v>
      </c>
      <c r="B87" s="3470"/>
      <c r="C87" s="2830" t="s">
        <v>2680</v>
      </c>
      <c r="D87" s="2830" t="s">
        <v>2681</v>
      </c>
      <c r="E87" s="2856">
        <v>0.1</v>
      </c>
      <c r="F87" s="2856">
        <v>15</v>
      </c>
    </row>
    <row r="88" spans="1:6" ht="24">
      <c r="A88" s="2856">
        <v>16</v>
      </c>
      <c r="B88" s="3470"/>
      <c r="C88" s="2830" t="s">
        <v>2682</v>
      </c>
      <c r="D88" s="2830" t="s">
        <v>2683</v>
      </c>
      <c r="E88" s="2856">
        <v>0.1</v>
      </c>
      <c r="F88" s="2856">
        <v>15</v>
      </c>
    </row>
    <row r="89" spans="1:6" ht="24">
      <c r="A89" s="2856">
        <v>17</v>
      </c>
      <c r="B89" s="3479"/>
      <c r="C89" s="2830" t="s">
        <v>2684</v>
      </c>
      <c r="D89" s="2830" t="s">
        <v>2685</v>
      </c>
      <c r="E89" s="2856">
        <v>0.1</v>
      </c>
      <c r="F89" s="2856">
        <v>15</v>
      </c>
    </row>
    <row r="90" spans="1:6" ht="14.4">
      <c r="A90" s="2856">
        <v>18</v>
      </c>
      <c r="B90" s="3475" t="s">
        <v>2686</v>
      </c>
      <c r="C90" s="2830" t="s">
        <v>2687</v>
      </c>
      <c r="D90" s="2830" t="s">
        <v>2688</v>
      </c>
      <c r="E90" s="2856">
        <v>0.2</v>
      </c>
      <c r="F90" s="2856">
        <v>25</v>
      </c>
    </row>
    <row r="91" spans="1:6" ht="24">
      <c r="A91" s="2856">
        <v>19</v>
      </c>
      <c r="B91" s="3470"/>
      <c r="C91" s="2830" t="s">
        <v>2689</v>
      </c>
      <c r="D91" s="2830" t="s">
        <v>2690</v>
      </c>
      <c r="E91" s="2856">
        <v>0.2</v>
      </c>
      <c r="F91" s="2856">
        <v>25</v>
      </c>
    </row>
    <row r="92" spans="1:6" ht="14.4">
      <c r="A92" s="2856">
        <v>20</v>
      </c>
      <c r="B92" s="3470"/>
      <c r="C92" s="2830" t="s">
        <v>2691</v>
      </c>
      <c r="D92" s="2830" t="s">
        <v>2692</v>
      </c>
      <c r="E92" s="2856">
        <v>0.15</v>
      </c>
      <c r="F92" s="2856">
        <v>20</v>
      </c>
    </row>
    <row r="93" spans="1:6" ht="24">
      <c r="A93" s="2856">
        <v>21</v>
      </c>
      <c r="B93" s="3470"/>
      <c r="C93" s="2830" t="s">
        <v>2693</v>
      </c>
      <c r="D93" s="2830" t="s">
        <v>2694</v>
      </c>
      <c r="E93" s="2856">
        <v>0.15</v>
      </c>
      <c r="F93" s="2856">
        <v>20</v>
      </c>
    </row>
    <row r="94" spans="1:6" ht="24">
      <c r="A94" s="2856">
        <v>22</v>
      </c>
      <c r="B94" s="3470"/>
      <c r="C94" s="2830" t="s">
        <v>2695</v>
      </c>
      <c r="D94" s="2830" t="s">
        <v>2696</v>
      </c>
      <c r="E94" s="2856">
        <v>0.15</v>
      </c>
      <c r="F94" s="2856">
        <v>20</v>
      </c>
    </row>
    <row r="95" spans="1:6" ht="36">
      <c r="A95" s="2856">
        <v>23</v>
      </c>
      <c r="B95" s="3470"/>
      <c r="C95" s="2830" t="s">
        <v>2697</v>
      </c>
      <c r="D95" s="2830" t="s">
        <v>2698</v>
      </c>
      <c r="E95" s="2856">
        <v>0.15</v>
      </c>
      <c r="F95" s="2856">
        <v>20</v>
      </c>
    </row>
    <row r="96" spans="1:6" ht="24">
      <c r="A96" s="2856">
        <v>24</v>
      </c>
      <c r="B96" s="3470"/>
      <c r="C96" s="2830" t="s">
        <v>2699</v>
      </c>
      <c r="D96" s="2830" t="s">
        <v>2700</v>
      </c>
      <c r="E96" s="2856">
        <v>0.1</v>
      </c>
      <c r="F96" s="2856">
        <v>15</v>
      </c>
    </row>
    <row r="97" spans="1:6" ht="24">
      <c r="A97" s="2856">
        <v>25</v>
      </c>
      <c r="B97" s="3470"/>
      <c r="C97" s="2830" t="s">
        <v>2701</v>
      </c>
      <c r="D97" s="2830" t="s">
        <v>2702</v>
      </c>
      <c r="E97" s="2856">
        <v>0.1</v>
      </c>
      <c r="F97" s="2856">
        <v>15</v>
      </c>
    </row>
    <row r="98" spans="1:6" ht="24">
      <c r="A98" s="2856">
        <v>26</v>
      </c>
      <c r="B98" s="3470"/>
      <c r="C98" s="2830" t="s">
        <v>2703</v>
      </c>
      <c r="D98" s="2830" t="s">
        <v>2704</v>
      </c>
      <c r="E98" s="2856">
        <v>0.1</v>
      </c>
      <c r="F98" s="2856">
        <v>15</v>
      </c>
    </row>
    <row r="99" spans="1:6" ht="24">
      <c r="A99" s="2856">
        <v>27</v>
      </c>
      <c r="B99" s="3470"/>
      <c r="C99" s="2830" t="s">
        <v>2705</v>
      </c>
      <c r="D99" s="2830" t="s">
        <v>2706</v>
      </c>
      <c r="E99" s="2856">
        <v>0.1</v>
      </c>
      <c r="F99" s="2856">
        <v>15</v>
      </c>
    </row>
    <row r="100" spans="1:6" ht="24">
      <c r="A100" s="2856">
        <v>28</v>
      </c>
      <c r="B100" s="3470"/>
      <c r="C100" s="2830" t="s">
        <v>2707</v>
      </c>
      <c r="D100" s="2830" t="s">
        <v>2708</v>
      </c>
      <c r="E100" s="2856">
        <v>0.1</v>
      </c>
      <c r="F100" s="2856">
        <v>15</v>
      </c>
    </row>
    <row r="101" spans="1:6" ht="24">
      <c r="A101" s="2856">
        <v>29</v>
      </c>
      <c r="B101" s="3470"/>
      <c r="C101" s="2830" t="s">
        <v>2709</v>
      </c>
      <c r="D101" s="2830" t="s">
        <v>2710</v>
      </c>
      <c r="E101" s="2856">
        <v>0.1</v>
      </c>
      <c r="F101" s="2856">
        <v>15</v>
      </c>
    </row>
    <row r="102" spans="1:6" ht="24">
      <c r="A102" s="2856">
        <v>30</v>
      </c>
      <c r="B102" s="3470"/>
      <c r="C102" s="2830" t="s">
        <v>2711</v>
      </c>
      <c r="D102" s="2830" t="s">
        <v>2712</v>
      </c>
      <c r="E102" s="2856">
        <v>0.1</v>
      </c>
      <c r="F102" s="2856">
        <v>15</v>
      </c>
    </row>
    <row r="103" spans="1:6" ht="24">
      <c r="A103" s="2856">
        <v>31</v>
      </c>
      <c r="B103" s="3470"/>
      <c r="C103" s="2830" t="s">
        <v>2713</v>
      </c>
      <c r="D103" s="2830" t="s">
        <v>2714</v>
      </c>
      <c r="E103" s="2856">
        <v>0.1</v>
      </c>
      <c r="F103" s="2856">
        <v>15</v>
      </c>
    </row>
    <row r="104" spans="1:6" ht="24">
      <c r="A104" s="2856">
        <v>32</v>
      </c>
      <c r="B104" s="3470"/>
      <c r="C104" s="2830" t="s">
        <v>2715</v>
      </c>
      <c r="D104" s="2830" t="s">
        <v>2716</v>
      </c>
      <c r="E104" s="2856">
        <v>0.1</v>
      </c>
      <c r="F104" s="2856">
        <v>15</v>
      </c>
    </row>
    <row r="105" spans="1:6" ht="24">
      <c r="A105" s="2856">
        <v>33</v>
      </c>
      <c r="B105" s="3470"/>
      <c r="C105" s="2830" t="s">
        <v>2717</v>
      </c>
      <c r="D105" s="2830" t="s">
        <v>2718</v>
      </c>
      <c r="E105" s="2856">
        <v>0.1</v>
      </c>
      <c r="F105" s="2856">
        <v>15</v>
      </c>
    </row>
    <row r="106" spans="1:6" ht="24">
      <c r="A106" s="2856">
        <v>34</v>
      </c>
      <c r="B106" s="3479"/>
      <c r="C106" s="2830" t="s">
        <v>2719</v>
      </c>
      <c r="D106" s="2830" t="s">
        <v>2720</v>
      </c>
      <c r="E106" s="2856">
        <v>0.1</v>
      </c>
      <c r="F106" s="2856">
        <v>15</v>
      </c>
    </row>
    <row r="107" spans="1:6" ht="36">
      <c r="A107" s="2856">
        <v>35</v>
      </c>
      <c r="B107" s="3475" t="s">
        <v>2721</v>
      </c>
      <c r="C107" s="2856" t="s">
        <v>2722</v>
      </c>
      <c r="D107" s="2830" t="s">
        <v>2723</v>
      </c>
      <c r="E107" s="2856">
        <v>0.15</v>
      </c>
      <c r="F107" s="2856">
        <v>20</v>
      </c>
    </row>
    <row r="108" spans="1:6" ht="24">
      <c r="A108" s="2856">
        <v>36</v>
      </c>
      <c r="B108" s="3470"/>
      <c r="C108" s="2856" t="s">
        <v>2724</v>
      </c>
      <c r="D108" s="2830" t="s">
        <v>2725</v>
      </c>
      <c r="E108" s="2856">
        <v>0.15</v>
      </c>
      <c r="F108" s="2856">
        <v>20</v>
      </c>
    </row>
    <row r="109" spans="1:6" ht="24">
      <c r="A109" s="2856">
        <v>37</v>
      </c>
      <c r="B109" s="3470"/>
      <c r="C109" s="2856" t="s">
        <v>2726</v>
      </c>
      <c r="D109" s="2830" t="s">
        <v>2727</v>
      </c>
      <c r="E109" s="2856">
        <v>0.15</v>
      </c>
      <c r="F109" s="2856">
        <v>20</v>
      </c>
    </row>
    <row r="110" spans="1:6" ht="24">
      <c r="A110" s="2856">
        <v>38</v>
      </c>
      <c r="B110" s="3470"/>
      <c r="C110" s="2856" t="s">
        <v>2728</v>
      </c>
      <c r="D110" s="2830" t="s">
        <v>2729</v>
      </c>
      <c r="E110" s="2856">
        <v>0.1</v>
      </c>
      <c r="F110" s="2856">
        <v>15</v>
      </c>
    </row>
    <row r="111" spans="1:6" ht="24">
      <c r="A111" s="2856">
        <v>39</v>
      </c>
      <c r="B111" s="3470"/>
      <c r="C111" s="2856" t="s">
        <v>2730</v>
      </c>
      <c r="D111" s="2830" t="s">
        <v>2731</v>
      </c>
      <c r="E111" s="2856">
        <v>0.1</v>
      </c>
      <c r="F111" s="2856">
        <v>15</v>
      </c>
    </row>
    <row r="112" spans="1:6" ht="24">
      <c r="A112" s="2856">
        <v>40</v>
      </c>
      <c r="B112" s="3479"/>
      <c r="C112" s="2856" t="s">
        <v>2732</v>
      </c>
      <c r="D112" s="2830" t="s">
        <v>2733</v>
      </c>
      <c r="E112" s="2856">
        <v>0.1</v>
      </c>
      <c r="F112" s="2856">
        <v>15</v>
      </c>
    </row>
    <row r="113" spans="1:6" ht="24">
      <c r="A113" s="2856">
        <v>41</v>
      </c>
      <c r="B113" s="3480" t="s">
        <v>2734</v>
      </c>
      <c r="C113" s="2856" t="s">
        <v>2735</v>
      </c>
      <c r="D113" s="2830" t="s">
        <v>2736</v>
      </c>
      <c r="E113" s="2856">
        <v>0.1</v>
      </c>
      <c r="F113" s="2856">
        <v>15</v>
      </c>
    </row>
    <row r="114" spans="1:6" ht="24">
      <c r="A114" s="2856">
        <v>42</v>
      </c>
      <c r="B114" s="3480"/>
      <c r="C114" s="2856" t="s">
        <v>2737</v>
      </c>
      <c r="D114" s="2830" t="s">
        <v>2738</v>
      </c>
      <c r="E114" s="2856">
        <v>0.1</v>
      </c>
      <c r="F114" s="2856">
        <v>15</v>
      </c>
    </row>
    <row r="115" spans="1:6" ht="24">
      <c r="A115" s="2856">
        <v>43</v>
      </c>
      <c r="B115" s="3480"/>
      <c r="C115" s="2856" t="s">
        <v>2739</v>
      </c>
      <c r="D115" s="2830" t="s">
        <v>2740</v>
      </c>
      <c r="E115" s="2856">
        <v>0.1</v>
      </c>
      <c r="F115" s="2856">
        <v>15</v>
      </c>
    </row>
    <row r="116" spans="1:6" ht="24">
      <c r="A116" s="2856">
        <v>44</v>
      </c>
      <c r="B116" s="3475" t="s">
        <v>2741</v>
      </c>
      <c r="C116" s="2856" t="s">
        <v>2742</v>
      </c>
      <c r="D116" s="2830" t="s">
        <v>2743</v>
      </c>
      <c r="E116" s="2856">
        <v>0.1</v>
      </c>
      <c r="F116" s="2856">
        <v>15</v>
      </c>
    </row>
    <row r="117" spans="1:6" ht="24">
      <c r="A117" s="2856">
        <v>45</v>
      </c>
      <c r="B117" s="3479"/>
      <c r="C117" s="2830" t="s">
        <v>2744</v>
      </c>
      <c r="D117" s="2830" t="s">
        <v>2745</v>
      </c>
      <c r="E117" s="2856">
        <v>0.1</v>
      </c>
      <c r="F117" s="2856">
        <v>15</v>
      </c>
    </row>
    <row r="118" spans="1:6" ht="24">
      <c r="A118" s="2856">
        <v>46</v>
      </c>
      <c r="B118" s="3475" t="s">
        <v>2746</v>
      </c>
      <c r="C118" s="2856" t="s">
        <v>2747</v>
      </c>
      <c r="D118" s="2830" t="s">
        <v>2748</v>
      </c>
      <c r="E118" s="2856">
        <v>0.1</v>
      </c>
      <c r="F118" s="2856">
        <v>15</v>
      </c>
    </row>
    <row r="119" spans="1:6" ht="24">
      <c r="A119" s="2856">
        <v>47</v>
      </c>
      <c r="B119" s="3479"/>
      <c r="C119" s="2856" t="s">
        <v>2749</v>
      </c>
      <c r="D119" s="2830" t="s">
        <v>2750</v>
      </c>
      <c r="E119" s="2856">
        <v>0.1</v>
      </c>
      <c r="F119" s="2856">
        <v>15</v>
      </c>
    </row>
    <row r="120" spans="1:6" ht="24">
      <c r="A120" s="2856">
        <v>48</v>
      </c>
      <c r="B120" s="3475" t="s">
        <v>2751</v>
      </c>
      <c r="C120" s="2856" t="s">
        <v>2752</v>
      </c>
      <c r="D120" s="2830" t="s">
        <v>2753</v>
      </c>
      <c r="E120" s="2856">
        <v>0.1</v>
      </c>
      <c r="F120" s="2856">
        <v>15</v>
      </c>
    </row>
    <row r="121" spans="1:6" ht="24">
      <c r="A121" s="2856">
        <v>49</v>
      </c>
      <c r="B121" s="3479"/>
      <c r="C121" s="2856" t="s">
        <v>2754</v>
      </c>
      <c r="D121" s="2830" t="s">
        <v>2755</v>
      </c>
      <c r="E121" s="2856">
        <v>0.1</v>
      </c>
      <c r="F121" s="2856">
        <v>15</v>
      </c>
    </row>
    <row r="122" spans="1:6" ht="24">
      <c r="A122" s="2856">
        <v>50</v>
      </c>
      <c r="B122" s="3480" t="s">
        <v>2756</v>
      </c>
      <c r="C122" s="2856" t="s">
        <v>2757</v>
      </c>
      <c r="D122" s="2830" t="s">
        <v>2758</v>
      </c>
      <c r="E122" s="2856">
        <v>0.1</v>
      </c>
      <c r="F122" s="2856">
        <v>15</v>
      </c>
    </row>
    <row r="123" spans="1:6" ht="24">
      <c r="A123" s="2856">
        <v>51</v>
      </c>
      <c r="B123" s="3480"/>
      <c r="C123" s="2856" t="s">
        <v>2759</v>
      </c>
      <c r="D123" s="2830" t="s">
        <v>2760</v>
      </c>
      <c r="E123" s="2856">
        <v>0.1</v>
      </c>
      <c r="F123" s="2856">
        <v>15</v>
      </c>
    </row>
    <row r="124" spans="1:6" ht="24">
      <c r="A124" s="2856">
        <v>52</v>
      </c>
      <c r="B124" s="3480" t="s">
        <v>2761</v>
      </c>
      <c r="C124" s="2856" t="s">
        <v>2762</v>
      </c>
      <c r="D124" s="2830" t="s">
        <v>2763</v>
      </c>
      <c r="E124" s="2856">
        <v>0.1</v>
      </c>
      <c r="F124" s="2856">
        <v>15</v>
      </c>
    </row>
    <row r="125" spans="1:6" ht="24">
      <c r="A125" s="2856">
        <v>53</v>
      </c>
      <c r="B125" s="3480"/>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0" t="s">
        <v>2769</v>
      </c>
      <c r="C127" s="2856" t="s">
        <v>2770</v>
      </c>
      <c r="D127" s="2830" t="s">
        <v>2771</v>
      </c>
      <c r="E127" s="2856">
        <v>0.1</v>
      </c>
      <c r="F127" s="2856">
        <v>15</v>
      </c>
    </row>
    <row r="128" spans="1:6" ht="24">
      <c r="A128" s="2856">
        <v>56</v>
      </c>
      <c r="B128" s="3480"/>
      <c r="C128" s="2856" t="s">
        <v>2772</v>
      </c>
      <c r="D128" s="2830" t="s">
        <v>2773</v>
      </c>
      <c r="E128" s="2856">
        <v>0.1</v>
      </c>
      <c r="F128" s="2856">
        <v>15</v>
      </c>
    </row>
    <row r="129" spans="1:6" ht="24">
      <c r="A129" s="2856">
        <v>57</v>
      </c>
      <c r="B129" s="3480"/>
      <c r="C129" s="2856" t="s">
        <v>2774</v>
      </c>
      <c r="D129" s="2830" t="s">
        <v>2775</v>
      </c>
      <c r="E129" s="2856">
        <v>0.1</v>
      </c>
      <c r="F129" s="2856">
        <v>15</v>
      </c>
    </row>
    <row r="130" spans="1:6" ht="24">
      <c r="A130" s="2856">
        <v>58</v>
      </c>
      <c r="B130" s="3480" t="s">
        <v>2776</v>
      </c>
      <c r="C130" s="2856" t="s">
        <v>2777</v>
      </c>
      <c r="D130" s="2830" t="s">
        <v>2778</v>
      </c>
      <c r="E130" s="2856">
        <v>0.1</v>
      </c>
      <c r="F130" s="2856">
        <v>15</v>
      </c>
    </row>
    <row r="131" spans="1:6" ht="24">
      <c r="A131" s="2856">
        <v>59</v>
      </c>
      <c r="B131" s="3480"/>
      <c r="C131" s="2856" t="s">
        <v>2779</v>
      </c>
      <c r="D131" s="2830" t="s">
        <v>2780</v>
      </c>
      <c r="E131" s="2856">
        <v>0.1</v>
      </c>
      <c r="F131" s="2856">
        <v>15</v>
      </c>
    </row>
    <row r="132" spans="1:6" ht="24">
      <c r="A132" s="2856">
        <v>60</v>
      </c>
      <c r="B132" s="3475" t="s">
        <v>2781</v>
      </c>
      <c r="C132" s="2856" t="s">
        <v>2782</v>
      </c>
      <c r="D132" s="2830" t="s">
        <v>2783</v>
      </c>
      <c r="E132" s="2856">
        <v>0.1</v>
      </c>
      <c r="F132" s="2856">
        <v>15</v>
      </c>
    </row>
    <row r="133" spans="1:6" ht="24">
      <c r="A133" s="2856">
        <v>61</v>
      </c>
      <c r="B133" s="3479"/>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0" t="s">
        <v>2789</v>
      </c>
      <c r="C135" s="2856" t="s">
        <v>2790</v>
      </c>
      <c r="D135" s="2830" t="s">
        <v>2791</v>
      </c>
      <c r="E135" s="2856">
        <v>0.1</v>
      </c>
      <c r="F135" s="2856">
        <v>15</v>
      </c>
    </row>
    <row r="136" spans="1:6" ht="24">
      <c r="A136" s="2856">
        <v>64</v>
      </c>
      <c r="B136" s="3480"/>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t="e">
        <f ca="1">结果表!H101</f>
        <v>#REF!</v>
      </c>
    </row>
    <row r="6" spans="1:5" ht="15.6">
      <c r="B6" s="3166"/>
      <c r="C6" s="1392" t="s">
        <v>911</v>
      </c>
      <c r="D6" s="797" t="e">
        <f ca="1">NUMBERSTRING(INT(D5*10000),2)&amp;"元整"</f>
        <v>#REF!</v>
      </c>
    </row>
    <row r="7" spans="1:5" ht="15.6">
      <c r="B7" s="3171"/>
      <c r="C7" s="1393" t="s">
        <v>912</v>
      </c>
      <c r="D7" s="798" t="e">
        <f ca="1">结果表!H102</f>
        <v>#REF!</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t="e">
        <f ca="1">结果表!H107</f>
        <v>#REF!</v>
      </c>
    </row>
    <row r="14" spans="1:5" ht="15.6">
      <c r="B14" s="3166"/>
      <c r="C14" s="1392" t="s">
        <v>911</v>
      </c>
      <c r="D14" s="797" t="e">
        <f ca="1">NUMBERSTRING(INT(D13*10000),2)&amp;"元整"</f>
        <v>#REF!</v>
      </c>
    </row>
    <row r="15" spans="1:5" ht="15.6">
      <c r="B15" s="3171"/>
      <c r="C15" s="1393" t="s">
        <v>921</v>
      </c>
      <c r="D15" s="806" t="e">
        <f ca="1">结果表!H108</f>
        <v>#REF!</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700.1</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700.1</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700.1</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6" t="s">
        <v>94</v>
      </c>
    </row>
    <row r="43" spans="1:7" ht="13.5" customHeight="1">
      <c r="A43" s="734" t="s">
        <v>347</v>
      </c>
      <c r="B43" s="207" t="s">
        <v>426</v>
      </c>
      <c r="C43" s="230" t="e">
        <f ca="1">ROUND(IF('数据-取费表'!B22&lt;=1,C39*F22*'数据-取费表'!B21/2,C39*(POWER((1+F22),'数据-取费表'!B21/2)-1)),0)</f>
        <v>#VALUE!</v>
      </c>
      <c r="D43" s="230"/>
      <c r="E43" s="230"/>
      <c r="F43" s="231"/>
      <c r="G43" s="3347"/>
    </row>
    <row r="44" spans="1:7" ht="13.5" customHeight="1">
      <c r="A44" s="734" t="s">
        <v>348</v>
      </c>
      <c r="B44" s="207" t="s">
        <v>428</v>
      </c>
      <c r="C44" s="230" t="e">
        <f ca="1">ROUND(IF('数据-取费表'!B22&lt;=1,C40*F22*'数据-取费表'!B21/2,C40*(POWER((1+F22),'数据-取费表'!B21/2)-1)),4)</f>
        <v>#VALUE!</v>
      </c>
      <c r="D44" s="230"/>
      <c r="E44" s="230"/>
      <c r="F44" s="231"/>
      <c r="G44" s="334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1" t="s">
        <v>3181</v>
      </c>
      <c r="B1" s="348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2" t="s">
        <v>3232</v>
      </c>
      <c r="B1" s="3482"/>
      <c r="C1" s="3482"/>
      <c r="D1" s="3482"/>
      <c r="E1" s="3482"/>
      <c r="F1" s="348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45834</v>
      </c>
      <c r="B1" s="2928" t="s">
        <v>3378</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4" t="s">
        <v>2827</v>
      </c>
      <c r="S29" s="3485"/>
      <c r="T29" s="3485"/>
      <c r="U29" s="3485"/>
      <c r="V29" s="3485"/>
      <c r="W29" s="3485"/>
      <c r="X29" s="2895"/>
      <c r="Y29" s="3484" t="s">
        <v>2828</v>
      </c>
      <c r="Z29" s="3485"/>
      <c r="AA29" s="3485"/>
      <c r="AB29" s="3485"/>
      <c r="AC29" s="3485"/>
      <c r="AD29" s="3485"/>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7" t="s">
        <v>2839</v>
      </c>
      <c r="B1" s="3497"/>
      <c r="C1" s="3497"/>
      <c r="D1" s="3497"/>
      <c r="E1" s="3497"/>
      <c r="F1" s="3497"/>
      <c r="G1" s="349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45834</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北京市海淀区王庄路1号院2号楼17层A房地产</v>
      </c>
      <c r="B4" s="801">
        <f>项目基本情况!C17</f>
        <v>700.1</v>
      </c>
      <c r="C4" s="801">
        <f>项目基本情况!C18</f>
        <v>134.79</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t="e">
        <f ca="1">结果表!D122</f>
        <v>#REF!</v>
      </c>
      <c r="E8" s="3178"/>
      <c r="F8" s="3178"/>
      <c r="G8" s="3178"/>
      <c r="H8" s="3178"/>
      <c r="I8" s="3178"/>
    </row>
    <row r="9" spans="1:9" ht="15">
      <c r="A9" s="3177" t="s">
        <v>927</v>
      </c>
      <c r="B9" s="3177"/>
      <c r="C9" s="3177"/>
      <c r="D9" s="3177" t="e">
        <f ca="1">结果表!D123</f>
        <v>#REF!</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45839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售价案例</vt:lpstr>
      <vt:lpstr>租金案例</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2025-07-01T03:23:12Z</dcterms:modified>
</cp:coreProperties>
</file>