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案例" sheetId="80" r:id="rId24"/>
    <sheet name="收益法 (元)" sheetId="67"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2"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<sst xmlns="http://schemas.openxmlformats.org/spreadsheetml/2006/main" count="7889" uniqueCount="2776">
  <si>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</si>
  <si>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</si>
  <si>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</si>
  <si>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</si>
  <si>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</si>
  <si>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</si>
  <si>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</si>
  <si>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</si>
  <si>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</si>
  <si>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</si>
  <si>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</si>
  <si>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</si>
  <si>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</si>
  <si>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</si>
  <si>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</si>
  <si>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</si>
  <si>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</si>
  <si>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</si>
  <si>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</si>
  <si>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</si>
  <si>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</si>
  <si>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</si>
  <si>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</si>
  <si>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</si>
  <si>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</si>
  <si>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</si>
  <si>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</si>
  <si>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</si>
  <si>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</si>
  <si>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</si>
  <si>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</si>
  <si>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</si>
  <si>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</si>
  <si>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</si>
  <si>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</si>
  <si>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</si>
  <si>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</si>
  <si>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</si>
  <si>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</si>
  <si>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</si>
  <si>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</si>
  <si>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</si>
  <si>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</si>
  <si>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</si>
  <si>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</si>
  <si>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</si>
  <si>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</si>
  <si>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</si>
  <si>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</si>
  <si>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</si>
  <si>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</si>
  <si>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</si>
  <si>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</si>
  <si>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</si>
  <si>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</si>
  <si>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</si>
  <si>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</si>
  <si>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</si>
  <si>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</si>
  <si>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</si>
  <si>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</si>
  <si>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</si>
  <si>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</si>
  <si>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</si>
  <si>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</si>
  <si>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</si>
  <si>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</si>
  <si>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</si>
  <si>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</si>
  <si>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</si>
  <si>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</si>
  <si>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</si>
  <si>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</si>
  <si>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</si>
  <si>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</si>
  <si>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</si>
  <si>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</si>
  <si>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</si>
  <si>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</si>
  <si>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</si>
  <si>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</si>
  <si>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</si>
  <si>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</si>
  <si>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</si>
  <si>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</si>
  <si>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</si>
  <si>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</si>
  <si>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</si>
  <si>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</si>
  <si>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</si>
  <si>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</si>
  <si>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</si>
  <si>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</si>
  <si>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</si>
  <si>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</si>
  <si>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</si>
  <si>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</si>
  <si>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</si>
  <si>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</si>
  <si>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</si>
  <si>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</si>
  <si>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</si>
  <si>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</si>
  <si>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</si>
  <si>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</si>
  <si>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</si>
  <si>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</si>
  <si>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</si>
  <si>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</si>
  <si>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</si>
  <si>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</si>
  <si>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</si>
  <si>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</si>
  <si>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</si>
  <si>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</si>
  <si>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</si>
  <si>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</si>
  <si>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</si>
  <si>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</si>
  <si>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</si>
  <si>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</si>
  <si>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</si>
  <si>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</si>
  <si>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</si>
  <si>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</si>
  <si>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</si>
  <si>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</si>
  <si>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</si>
  <si>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</si>
  <si>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</si>
  <si>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</si>
  <si>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</si>
  <si>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</si>
  <si>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</si>
  <si>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</si>
  <si>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</si>
  <si>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</si>
  <si>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</si>
  <si>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</si>
  <si>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</si>
  <si>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</si>
  <si>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</si>
  <si>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</si>
  <si>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</si>
  <si>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</si>
  <si>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</si>
  <si>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</si>
  <si>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</si>
  <si>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</si>
  <si>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</si>
  <si>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</si>
  <si>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</si>
  <si>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</si>
  <si>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</si>
  <si>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</si>
  <si>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</si>
  <si>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</si>
  <si>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</si>
  <si>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</si>
  <si>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</si>
  <si>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</si>
  <si>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</si>
  <si>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</si>
  <si>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</si>
  <si>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</si>
  <si>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</si>
  <si>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</si>
  <si>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</si>
  <si>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</si>
  <si>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</si>
  <si>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</si>
  <si>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</si>
  <si>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</si>
  <si>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</si>
  <si>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</si>
  <si>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</si>
  <si>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</si>
  <si>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</si>
  <si>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</si>
  <si>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</si>
  <si>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</si>
  <si>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</si>
  <si>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</si>
  <si>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</si>
  <si>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</si>
  <si>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</si>
  <si>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</si>
  <si>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</si>
  <si>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</si>
  <si>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</si>
  <si>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</si>
  <si>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</si>
  <si>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</si>
  <si>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</si>
  <si>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</si>
  <si>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</si>
  <si>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</si>
  <si>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</si>
  <si>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</si>
  <si>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</si>
  <si>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</si>
  <si>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</si>
  <si>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</si>
  <si>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</si>
  <si>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</si>
  <si>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</si>
  <si>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</si>
  <si>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</si>
  <si>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</si>
  <si>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</si>
  <si>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</si>
  <si>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</si>
  <si>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</si>
  <si>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</si>
  <si>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</si>
  <si>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</si>
  <si>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</si>
  <si>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</si>
  <si>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</si>
  <si>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</si>
  <si>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</si>
  <si>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</si>
  <si>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</si>
  <si>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</si>
  <si>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</si>
  <si>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</si>
  <si>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</si>
  <si>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</si>
  <si>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</si>
  <si>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</si>
  <si>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</si>
  <si>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</si>
  <si>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</si>
  <si>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</si>
  <si>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</si>
  <si>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</si>
  <si>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</si>
  <si>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</si>
  <si>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</si>
  <si>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</si>
  <si>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</si>
  <si>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</si>
  <si>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</si>
  <si>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</si>
  <si>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</si>
  <si>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</si>
  <si>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</si>
  <si>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</si>
  <si>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</si>
  <si>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</si>
  <si>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</si>
  <si>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</si>
  <si>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</si>
  <si>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</si>
  <si>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</si>
  <si>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</si>
  <si>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</si>
  <si>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</si>
  <si>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</si>
  <si>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</si>
  <si>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</si>
  <si>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</si>
  <si>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</si>
  <si>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</si>
  <si>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</si>
  <si>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</si>
  <si>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</si>
  <si>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</si>
  <si>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</si>
  <si>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</si>
  <si>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</si>
  <si>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</si>
  <si>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</si>
  <si>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</si>
  <si>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</si>
  <si>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</si>
  <si>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</si>
  <si>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</si>
  <si>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</si>
  <si>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</si>
  <si>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</si>
  <si>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</si>
  <si>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</si>
  <si>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</si>
  <si>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</si>
  <si>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</si>
  <si>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</si>
  <si>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</si>
  <si>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</si>
  <si>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</si>
  <si>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</si>
  <si>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</si>
  <si>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</si>
  <si>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</si>
  <si>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</si>
  <si>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</si>
  <si>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</si>
  <si>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</si>
  <si>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</si>
  <si>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</si>
  <si>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</si>
  <si>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</si>
  <si>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</si>
  <si>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</si>
  <si>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</si>
  <si>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</si>
  <si>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</si>
  <si>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</si>
  <si>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</si>
  <si>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</si>
  <si>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</si>
  <si>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</si>
  <si>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</si>
  <si>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</si>
  <si>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</si>
  <si>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</si>
  <si>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</si>
  <si>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</si>
  <si>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</si>
  <si>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</si>
  <si>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</si>
  <si>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</si>
  <si>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</si>
  <si>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</si>
  <si>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</si>
  <si>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</si>
  <si>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</si>
  <si>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</si>
  <si>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</si>
  <si>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</si>
  <si>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</si>
  <si>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</si>
  <si>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</si>
  <si>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</si>
  <si>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</si>
  <si>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</si>
  <si>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</si>
  <si>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</si>
  <si>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</si>
  <si>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</si>
  <si>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</si>
  <si>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</si>
  <si>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</si>
  <si>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</si>
  <si>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</si>
  <si>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</si>
  <si>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</si>
  <si>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</si>
  <si>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</si>
  <si>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</si>
  <si>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</si>
  <si>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</si>
  <si>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</si>
  <si>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</si>
  <si>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</si>
  <si>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</si>
  <si>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</si>
  <si>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</si>
  <si>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</si>
  <si>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</si>
  <si>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</si>
  <si>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</si>
  <si>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</si>
  <si>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</si>
  <si>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</si>
  <si>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</si>
  <si>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</si>
  <si>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</si>
  <si>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</si>
  <si>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</si>
  <si>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</si>
  <si>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</si>
  <si>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</si>
  <si>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</si>
  <si>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</si>
  <si>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</si>
  <si>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</si>
  <si>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</si>
  <si>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</si>
  <si>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</si>
  <si>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</si>
  <si>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</si>
  <si>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</si>
  <si>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</si>
  <si>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</si>
  <si>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</si>
  <si>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</si>
  <si>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</si>
  <si>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</si>
  <si>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</si>
  <si>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</si>
  <si>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</si>
  <si>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</si>
  <si>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</si>
  <si>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</si>
  <si>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</si>
  <si>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</si>
  <si>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</si>
  <si>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</si>
  <si>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</si>
  <si>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</si>
  <si>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</si>
  <si>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</si>
  <si>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</si>
  <si>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</si>
  <si>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</si>
  <si>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</si>
  <si>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</si>
  <si>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</si>
  <si>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</si>
  <si>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</si>
  <si>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</si>
  <si>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</si>
  <si>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</si>
  <si>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</si>
  <si>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</si>
  <si>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</si>
  <si>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</si>
  <si>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</si>
  <si>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</si>
  <si>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</si>
  <si>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</si>
  <si>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</si>
  <si>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</si>
  <si>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</si>
  <si>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</si>
  <si>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</si>
  <si>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</si>
  <si>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</si>
  <si>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</si>
  <si>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</si>
  <si>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</si>
  <si>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</si>
  <si>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</si>
  <si>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</si>
  <si>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</si>
  <si>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</si>
  <si>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</si>
  <si>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</si>
  <si>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</si>
  <si>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</si>
  <si>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</si>
  <si>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</si>
  <si>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</si>
  <si>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</si>
  <si>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</si>
  <si>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</si>
  <si>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</si>
  <si>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</si>
  <si>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</si>
  <si>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</si>
  <si>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</si>
  <si>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</si>
  <si>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</si>
  <si>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</si>
  <si>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</si>
  <si>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</si>
  <si>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</si>
  <si>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</si>
  <si>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</si>
  <si>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</si>
  <si>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</si>
  <si>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</si>
  <si>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</si>
  <si>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</si>
  <si>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</si>
  <si>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</si>
  <si>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</si>
  <si>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</si>
  <si>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</si>
  <si>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</si>
  <si>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</si>
  <si>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</si>
  <si>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</si>
  <si>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</si>
  <si>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</si>
  <si>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</si>
  <si>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</si>
  <si>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</si>
  <si>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</si>
  <si>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</si>
  <si>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</si>
  <si>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</si>
  <si>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</si>
  <si>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</si>
  <si>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</si>
  <si>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</si>
  <si>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</si>
  <si>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</si>
  <si>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</si>
  <si>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</si>
  <si>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</si>
  <si>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</si>
  <si>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</si>
  <si>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</si>
  <si>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</si>
  <si>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</si>
  <si>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</si>
  <si>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</si>
  <si>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</si>
  <si>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</si>
  <si>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</si>
  <si>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</si>
  <si>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</si>
  <si>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</si>
  <si>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</si>
  <si>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</si>
  <si>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</si>
  <si>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</si>
  <si>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</si>
  <si>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</si>
  <si>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</si>
  <si>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</si>
  <si>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</si>
  <si>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</si>
  <si>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</si>
  <si>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</si>
  <si>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</si>
  <si>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</si>
  <si>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</si>
  <si>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</si>
  <si>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</si>
  <si>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</si>
  <si>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</si>
  <si>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</si>
  <si>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</si>
  <si>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</si>
  <si>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</si>
  <si>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</si>
  <si>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</si>
  <si>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</si>
  <si>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</si>
  <si>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</si>
  <si>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</si>
  <si>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</si>
  <si>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</si>
  <si>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</si>
  <si>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</si>
  <si>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</si>
  <si>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</si>
  <si>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</si>
  <si>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</si>
  <si>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</si>
  <si>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</si>
  <si>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</si>
  <si>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</si>
  <si>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</si>
  <si>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</si>
  <si>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</si>
  <si>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</si>
  <si>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</si>
  <si>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</si>
  <si>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</si>
  <si>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</si>
  <si>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</si>
  <si>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</si>
  <si>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</si>
  <si>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</si>
  <si>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</si>
  <si>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</si>
  <si>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</si>
  <si>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</si>
  <si>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</si>
  <si>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</si>
  <si>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</si>
  <si>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</si>
  <si>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</si>
  <si>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</si>
  <si>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</si>
  <si>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</si>
  <si>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</si>
  <si>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</si>
  <si>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</si>
  <si>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</si>
  <si>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</si>
  <si>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</si>
  <si>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</si>
  <si>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</si>
  <si>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</si>
  <si>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</si>
  <si>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</si>
  <si>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</si>
  <si>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</si>
  <si>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</si>
  <si>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</si>
  <si>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</si>
  <si>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</si>
  <si>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</si>
  <si>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</si>
  <si>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</si>
  <si>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</si>
  <si>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</si>
  <si>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</si>
  <si>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</si>
  <si>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</si>
  <si>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</si>
  <si>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</si>
  <si>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</si>
  <si>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</si>
  <si>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</si>
  <si>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</si>
  <si>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</si>
  <si>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</si>
  <si>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</si>
  <si>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</si>
  <si>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</si>
  <si>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</si>
  <si>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</si>
  <si>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</si>
  <si>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</si>
  <si>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</si>
  <si>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</si>
  <si>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</si>
  <si>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</si>
  <si>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</si>
  <si>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</si>
  <si>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</si>
  <si>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</si>
  <si>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</si>
  <si>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</si>
  <si>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</si>
  <si>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</si>
  <si>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</si>
  <si>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</si>
  <si>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</si>
  <si>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</si>
  <si>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</si>
  <si>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</si>
  <si>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</si>
  <si>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</si>
  <si>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</si>
  <si>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</si>
  <si>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</si>
  <si>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</si>
  <si>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</si>
  <si>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</si>
  <si>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</si>
  <si>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</si>
  <si>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</si>
  <si>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</si>
  <si>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</si>
  <si>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</si>
  <si>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</si>
  <si>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</si>
  <si>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</si>
  <si>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</si>
  <si>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</si>
  <si>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</si>
  <si>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</si>
  <si>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</si>
  <si>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</si>
  <si>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</si>
  <si>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</si>
  <si>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</si>
  <si>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</si>
  <si>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</si>
  <si>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</si>
  <si>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</si>
  <si>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</si>
  <si>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</si>
  <si>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</si>
  <si>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</si>
  <si>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</si>
  <si>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</si>
  <si>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</si>
  <si>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</si>
  <si>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</si>
  <si>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</si>
  <si>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</si>
  <si>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</si>
  <si>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</si>
  <si>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</si>
  <si>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</si>
  <si>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</si>
  <si>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</si>
  <si>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</si>
  <si>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</si>
  <si>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</si>
  <si>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</si>
  <si>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</si>
  <si>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</si>
  <si>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</si>
  <si>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</si>
  <si>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</si>
  <si>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</si>
  <si>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</si>
  <si>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</si>
  <si>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</si>
  <si>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</si>
  <si>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</si>
  <si>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</si>
  <si>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</si>
  <si>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</si>
  <si>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</si>
  <si>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</si>
  <si>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</si>
  <si>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</si>
  <si>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</si>
  <si>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</si>
  <si>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</si>
  <si>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</si>
  <si>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</si>
  <si>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</si>
  <si>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</si>
  <si>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</si>
  <si>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</si>
  <si>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</si>
  <si>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</si>
  <si>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</si>
  <si>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</si>
  <si>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</si>
  <si>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</si>
  <si>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</si>
  <si>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</si>
  <si>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</si>
  <si>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</si>
  <si>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</si>
  <si>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</si>
  <si>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</si>
  <si>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</si>
  <si>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</si>
  <si>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</si>
  <si>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</si>
  <si>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</si>
  <si>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</si>
  <si>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</si>
  <si>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</si>
  <si>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</si>
  <si>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</si>
  <si>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</si>
  <si>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</si>
  <si>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</si>
  <si>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</si>
  <si>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</si>
  <si>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</si>
  <si>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</si>
  <si>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</si>
  <si>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</si>
  <si>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</si>
  <si>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</si>
  <si>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</si>
  <si>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</si>
  <si>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</si>
  <si>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</si>
  <si>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</si>
  <si>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</si>
  <si>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</si>
  <si>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</si>
  <si>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</si>
  <si>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</si>
  <si>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</si>
  <si>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</si>
  <si>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</si>
  <si>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</si>
  <si>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</si>
  <si>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</si>
  <si>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</si>
  <si>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</si>
  <si>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</si>
  <si>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</si>
  <si>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</si>
  <si>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</si>
  <si>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</si>
  <si>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</si>
  <si>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</si>
  <si>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</si>
  <si>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</si>
  <si>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</si>
  <si>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</si>
  <si>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</si>
  <si>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</si>
  <si>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</si>
  <si>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</si>
  <si>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</si>
  <si>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</si>
  <si>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</si>
  <si>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</si>
  <si>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</si>
  <si>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</si>
  <si>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</si>
  <si>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</si>
  <si>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</si>
  <si>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</si>
  <si>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</si>
  <si>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</si>
  <si>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</si>
  <si>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</si>
  <si>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</si>
  <si>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</si>
  <si>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</si>
  <si>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</si>
  <si>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</si>
  <si>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</si>
  <si>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</si>
  <si>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</si>
  <si>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</si>
  <si>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</si>
  <si>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</si>
  <si>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</si>
  <si>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</si>
  <si>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</si>
  <si>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</si>
  <si>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</si>
  <si>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</si>
  <si>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</si>
  <si>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</si>
  <si>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</si>
  <si>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</si>
  <si>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</si>
  <si>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</si>
  <si>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</si>
  <si>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</si>
  <si>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</si>
  <si>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</si>
  <si>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</si>
  <si>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</si>
  <si>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</si>
  <si>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</si>
  <si>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</si>
  <si>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</si>
  <si>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</si>
  <si>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</si>
  <si>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</si>
  <si>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</si>
  <si>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</si>
  <si>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</si>
  <si>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</si>
  <si>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</si>
  <si>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</si>
  <si>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</si>
  <si>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</si>
  <si>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</si>
  <si>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</si>
  <si>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</si>
  <si>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</si>
  <si>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</si>
  <si>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</si>
  <si>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</si>
  <si>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</si>
  <si>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</si>
  <si>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</si>
  <si>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</si>
  <si>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</si>
  <si>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</si>
  <si>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</si>
  <si>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</si>
  <si>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</si>
  <si>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</si>
  <si>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</si>
  <si>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</si>
  <si>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</si>
  <si>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</si>
  <si>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</si>
  <si>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</si>
  <si>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</si>
  <si>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</si>
  <si>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</si>
  <si>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</si>
  <si>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</si>
  <si>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</si>
  <si>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</si>
  <si>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</si>
  <si>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</si>
  <si>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</si>
  <si>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</si>
  <si>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</si>
  <si>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</si>
  <si>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</si>
  <si>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</si>
  <si>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</si>
  <si>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</si>
  <si>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</si>
  <si>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</si>
  <si>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</si>
  <si>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</si>
  <si>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</si>
  <si>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</si>
  <si>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</si>
  <si>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</si>
  <si>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</si>
  <si>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</si>
  <si>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</si>
  <si>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</si>
  <si>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</si>
  <si>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</si>
  <si>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</si>
  <si>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</si>
  <si>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</si>
  <si>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</si>
  <si>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</si>
  <si>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</si>
  <si>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</si>
  <si>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</si>
  <si>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</si>
  <si>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</si>
  <si>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</si>
  <si>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</si>
  <si>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</si>
  <si>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</si>
  <si>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</si>
  <si>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</si>
  <si>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</si>
  <si>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</si>
  <si>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</si>
  <si>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</si>
  <si>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</si>
  <si>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</si>
  <si>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</si>
  <si>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</si>
  <si>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</si>
  <si>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</si>
  <si>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</si>
  <si>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</si>
  <si>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</si>
  <si>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</si>
  <si>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</si>
  <si>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</si>
  <si>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</si>
  <si>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</si>
  <si>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</si>
  <si>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</si>
  <si>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</si>
  <si>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</si>
  <si>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</si>
  <si>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</si>
  <si>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</si>
  <si>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</si>
  <si>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</si>
  <si>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</si>
  <si>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</si>
  <si>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</si>
  <si>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</si>
  <si>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</si>
  <si>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</si>
  <si>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</si>
  <si>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</si>
  <si>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</si>
  <si>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</si>
  <si>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</si>
  <si>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</si>
  <si>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</si>
  <si>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</si>
  <si>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</si>
  <si>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</si>
  <si>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</si>
  <si>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</si>
  <si>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</si>
  <si>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</si>
  <si>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</si>
  <si>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</si>
  <si>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</si>
  <si>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</si>
  <si>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</si>
  <si>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</si>
  <si>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</si>
  <si>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</si>
  <si>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</si>
  <si>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</si>
  <si>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</si>
  <si>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</si>
  <si>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</si>
  <si>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</si>
  <si>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</si>
  <si>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</si>
  <si>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</si>
  <si>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</si>
  <si>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</si>
  <si>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</si>
  <si>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</si>
  <si>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</si>
  <si>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</si>
  <si>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</si>
  <si>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</si>
  <si>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</si>
  <si>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</si>
  <si>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</si>
  <si>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</si>
  <si>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</si>
  <si>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</si>
  <si>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</si>
  <si>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</si>
  <si>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</si>
  <si>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</si>
  <si>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</si>
  <si>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</si>
  <si>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</si>
  <si>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</si>
  <si>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</si>
  <si>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</si>
  <si>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</si>
  <si>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</si>
  <si>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</si>
  <si>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</si>
  <si>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</si>
  <si>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</si>
  <si>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</si>
  <si>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</si>
  <si>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</si>
  <si>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</si>
  <si>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</si>
  <si>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</si>
  <si>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</si>
  <si>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</si>
  <si>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</si>
  <si>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</si>
  <si>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</si>
  <si>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</si>
  <si>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</si>
  <si>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</si>
  <si>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</si>
  <si>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</si>
  <si>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</si>
  <si>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</si>
  <si>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</si>
  <si>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</si>
  <si>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</si>
  <si>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</si>
  <si>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</si>
  <si>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</si>
  <si>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</si>
  <si>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</si>
  <si>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</si>
  <si>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</si>
  <si>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</si>
  <si>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</si>
  <si>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</si>
  <si>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</si>
  <si>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</si>
  <si>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</si>
  <si>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</si>
  <si>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</si>
  <si>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</si>
  <si>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</si>
  <si>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</si>
  <si>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</si>
  <si>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</si>
  <si>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</si>
  <si>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</si>
  <si>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</si>
  <si>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</si>
  <si>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</si>
  <si>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</si>
  <si>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</si>
  <si>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</si>
  <si>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</si>
  <si>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</si>
  <si>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</si>
  <si>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</si>
  <si>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</si>
  <si>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</si>
  <si>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</si>
  <si>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</si>
  <si>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</si>
  <si>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</si>
  <si>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</si>
  <si>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</si>
  <si>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</si>
  <si>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</si>
  <si>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</si>
  <si>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</si>
  <si>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</si>
  <si>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</si>
  <si>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</si>
  <si>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</si>
  <si>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</si>
  <si>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</si>
  <si>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</si>
  <si>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</si>
  <si>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</si>
  <si>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</si>
  <si>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</si>
  <si>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</si>
  <si>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</si>
  <si>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</si>
  <si>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</si>
  <si>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</si>
  <si>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</si>
  <si>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</si>
  <si>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</si>
  <si>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</si>
  <si>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</si>
  <si>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</si>
  <si>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</si>
  <si>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</si>
  <si>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</si>
  <si>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</si>
  <si>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</si>
  <si>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</si>
  <si>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</si>
  <si>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</si>
  <si>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</si>
  <si>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</si>
  <si>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</si>
  <si>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</si>
  <si>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</si>
  <si>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</si>
  <si>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</si>
  <si>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</si>
  <si>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</si>
  <si>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</si>
  <si>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</si>
  <si>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</si>
  <si>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</si>
  <si>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</si>
  <si>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</si>
  <si>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</si>
  <si>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</si>
  <si>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</si>
  <si>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</si>
  <si>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</si>
  <si>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</si>
  <si>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</si>
  <si>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</si>
  <si>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</si>
  <si>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</si>
  <si>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</si>
  <si>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</si>
  <si>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</si>
  <si>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</si>
  <si>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</si>
  <si>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</si>
  <si>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</si>
  <si>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</si>
  <si>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</si>
  <si>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</si>
  <si>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</si>
  <si>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</si>
  <si>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</si>
  <si>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</si>
  <si>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</si>
  <si>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</si>
  <si>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</si>
  <si>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</si>
  <si>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</si>
  <si>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</si>
  <si>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</si>
  <si>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</si>
  <si>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</si>
  <si>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</si>
  <si>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</si>
  <si>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</si>
  <si>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</si>
  <si>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</si>
  <si>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</si>
  <si>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</si>
  <si>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</si>
  <si>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</si>
  <si>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</si>
  <si>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</si>
  <si>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</si>
  <si>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</si>
  <si>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</si>
  <si>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</si>
  <si>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</si>
  <si>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</si>
  <si>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</si>
  <si>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</si>
  <si>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</si>
  <si>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</si>
  <si>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</si>
  <si>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</si>
  <si>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</si>
  <si>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</si>
  <si>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</si>
  <si>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</si>
  <si>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</si>
  <si>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</si>
  <si>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</si>
  <si>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</si>
  <si>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</si>
  <si>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</si>
  <si>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</si>
  <si>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</si>
  <si>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</si>
  <si>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</si>
  <si>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</si>
  <si>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</si>
  <si>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</si>
  <si>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</si>
  <si>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</si>
  <si>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</si>
  <si>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</si>
  <si>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</si>
  <si>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</si>
  <si>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</si>
  <si>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</si>
  <si>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</si>
  <si>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</si>
  <si>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</si>
  <si>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</si>
  <si>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</si>
  <si>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</si>
  <si>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</si>
  <si>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</si>
  <si>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</si>
  <si>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</si>
  <si>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</si>
  <si>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</si>
  <si>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</si>
  <si>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</si>
  <si>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</si>
  <si>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</si>
  <si>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</si>
  <si>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</si>
  <si>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</si>
  <si>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</si>
  <si>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</si>
  <si>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</si>
  <si>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</si>
  <si>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</si>
  <si>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</si>
  <si>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</si>
  <si>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</si>
  <si>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</si>
  <si>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</si>
  <si>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</si>
  <si>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</si>
  <si>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</si>
  <si>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</si>
  <si>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</si>
  <si>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</si>
  <si>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</si>
  <si>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</si>
  <si>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</si>
  <si>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</si>
  <si>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</si>
  <si>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</si>
  <si>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</si>
  <si>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</si>
  <si>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</si>
  <si>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</si>
  <si>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</si>
  <si>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</si>
  <si>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</si>
  <si>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</si>
  <si>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</si>
  <si>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</si>
  <si>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</si>
  <si>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</si>
  <si>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</si>
  <si>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</si>
  <si>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</si>
  <si>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</si>
  <si>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</si>
  <si>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</si>
  <si>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</si>
  <si>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</si>
  <si>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</si>
  <si>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</si>
  <si>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</si>
  <si>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</si>
  <si>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</si>
  <si>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</si>
  <si>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</si>
  <si>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</si>
  <si>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</si>
  <si>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</si>
  <si>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</si>
  <si>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</si>
  <si>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</si>
  <si>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</si>
  <si>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</si>
  <si>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</si>
  <si>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</si>
  <si>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</si>
  <si>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</si>
  <si>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</si>
  <si>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</si>
  <si>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</si>
  <si>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</si>
  <si>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</si>
  <si>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</si>
  <si>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</si>
  <si>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</si>
  <si>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</si>
  <si>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</si>
  <si>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</si>
  <si>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</si>
  <si>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</si>
  <si>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</si>
  <si>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</si>
  <si>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</si>
  <si>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</si>
  <si>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</si>
  <si>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</si>
  <si>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</si>
  <si>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</si>
  <si>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</si>
  <si>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</si>
  <si>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</si>
  <si>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</si>
  <si>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</si>
  <si>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</si>
  <si>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</si>
  <si>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</si>
  <si>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</si>
  <si>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</si>
  <si>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</si>
  <si>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</si>
  <si>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</si>
  <si>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</si>
  <si>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</si>
  <si>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</si>
  <si>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</si>
  <si>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</si>
  <si>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</si>
  <si>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</si>
  <si>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</si>
  <si>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</si>
  <si>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</si>
  <si>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</si>
  <si>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</si>
  <si>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</si>
  <si>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</si>
  <si>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</si>
  <si>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</si>
  <si>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</si>
  <si>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</si>
  <si>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</si>
  <si>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</si>
  <si>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</si>
  <si>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</si>
  <si>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</si>
  <si>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</si>
  <si>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</si>
  <si>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</si>
  <si>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</si>
  <si>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</si>
  <si>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</si>
  <si>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</si>
  <si>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</si>
  <si>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</si>
  <si>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</si>
  <si>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</si>
  <si>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</si>
  <si>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</si>
  <si>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</si>
  <si>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</si>
  <si>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</si>
  <si>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</si>
  <si>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</si>
  <si>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水星园</t>
  </si>
  <si>
    <r>
      <rPr>
        <sz val="11"/>
        <color theme="9" tint="-0.249977111117893"/>
        <rFont val="宋体"/>
        <charset val="134"/>
      </rPr>
      <t>项目位置</t>
    </r>
  </si>
  <si>
    <t>15-2-601</t>
  </si>
  <si>
    <t>10-1-2105</t>
  </si>
  <si>
    <t>20-1162</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</si>
  <si>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</si>
  <si>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</si>
  <si>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</si>
  <si>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</si>
  <si>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</si>
  <si>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</si>
  <si>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</si>
  <si>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</si>
  <si>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</si>
  <si>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</si>
  <si>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</si>
  <si>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</si>
  <si>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</si>
  <si>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</si>
  <si>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</si>
  <si>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</si>
  <si>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</si>
  <si>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</si>
  <si>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</si>
  <si>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t>好</t>
  </si>
  <si>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</si>
  <si>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</si>
  <si>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</si>
  <si>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</si>
  <si>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</si>
  <si>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</si>
  <si>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东西</t>
  </si>
  <si>
    <t>东南</t>
  </si>
  <si>
    <t>楼层</t>
  </si>
  <si>
    <t>低楼层</t>
  </si>
  <si>
    <t>中楼层</t>
  </si>
  <si>
    <r>
      <rPr>
        <b/>
        <sz val="11"/>
        <rFont val="宋体"/>
        <charset val="134"/>
      </rPr>
      <t>实物状况</t>
    </r>
  </si>
  <si>
    <r>
      <rPr>
        <sz val="11"/>
        <color indexed="8"/>
        <rFont val="宋体"/>
        <charset val="134"/>
      </rPr>
      <t>建筑类型</t>
    </r>
  </si>
  <si>
    <t>高层板楼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</si>
  <si>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</si>
  <si>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</si>
  <si>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</si>
  <si>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</si>
  <si>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</si>
  <si>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</si>
  <si>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</si>
  <si>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</si>
  <si>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</si>
  <si>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</si>
  <si>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</si>
  <si>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</si>
  <si>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</si>
  <si>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</si>
  <si>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</si>
  <si>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</si>
  <si>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r>
      <rPr>
        <sz val="11"/>
        <color indexed="8"/>
        <rFont val="宋体"/>
        <charset val="134"/>
      </rPr>
      <t>内部装修维护情况</t>
    </r>
  </si>
  <si>
    <t>是否观河景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</si>
  <si>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</si>
  <si>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</si>
  <si>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</si>
  <si>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</si>
  <si>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</si>
  <si>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</si>
  <si>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</si>
  <si>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</si>
  <si>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</si>
  <si>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</si>
  <si>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</si>
  <si>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</si>
  <si>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</si>
  <si>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</si>
  <si>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</si>
  <si>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</si>
  <si>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</si>
  <si>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</si>
  <si>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</si>
  <si>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</si>
  <si>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</si>
  <si>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</si>
  <si>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</si>
  <si>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</si>
  <si>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西南</t>
  </si>
  <si>
    <t>顶层</t>
  </si>
  <si>
    <t>底层</t>
  </si>
  <si>
    <t>高楼层</t>
  </si>
  <si>
    <t>多层板楼</t>
  </si>
  <si>
    <t>连板</t>
  </si>
  <si>
    <t>板塔结合</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</si>
  <si>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</si>
  <si>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</si>
  <si>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</si>
  <si>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</si>
  <si>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</si>
  <si>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</si>
  <si>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</si>
  <si>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</si>
  <si>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</si>
  <si>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</si>
  <si>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</si>
  <si>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</si>
  <si>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</si>
  <si>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</si>
  <si>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</si>
  <si>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</si>
  <si>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</si>
  <si>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</si>
  <si>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</si>
  <si>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</si>
  <si>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</si>
  <si>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序号</t>
  </si>
  <si>
    <t>权属文件</t>
  </si>
  <si>
    <t>房屋所有权人</t>
  </si>
  <si>
    <t>坐落</t>
  </si>
  <si>
    <t>建筑面积</t>
  </si>
  <si>
    <t>《不动产登记簿》[宗地/宗海代码：110105 024001 GB00236]</t>
  </si>
  <si>
    <t>鲁维穆</t>
  </si>
  <si>
    <t>北京市朝阳区夏家园16号楼2层1单元201</t>
  </si>
  <si>
    <r>
      <rPr>
        <sz val="10.5"/>
        <color theme="1"/>
        <rFont val="宋体"/>
        <charset val="134"/>
      </rPr>
      <t>《房屋所有权证》</t>
    </r>
    <r>
      <rPr>
        <sz val="10.5"/>
        <color theme="1"/>
        <rFont val="Arial"/>
        <charset val="134"/>
      </rPr>
      <t>[X</t>
    </r>
    <r>
      <rPr>
        <sz val="10.5"/>
        <color theme="1"/>
        <rFont val="宋体"/>
        <charset val="134"/>
      </rPr>
      <t>京房权证朝私字第</t>
    </r>
    <r>
      <rPr>
        <sz val="10.5"/>
        <color theme="1"/>
        <rFont val="Arial"/>
        <charset val="134"/>
      </rPr>
      <t>540080]</t>
    </r>
  </si>
  <si>
    <r>
      <rPr>
        <sz val="10.5"/>
        <color theme="1"/>
        <rFont val="宋体"/>
        <charset val="134"/>
      </rPr>
      <t>王必勤</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</si>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</sst>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0_ "/>
    <numFmt numFmtId="178" formatCode="0_);[Red]\(0\)"/>
    <numFmt numFmtId="179" formatCode="0.00_);[Red]\(0.00\)"/>
    <numFmt numFmtId="180" formatCode="[$-F800]dddd\,\ mmmm\ dd\,\ yyyy"/>
    <numFmt numFmtId="181" formatCode="yyyy/m/d;@"/>
    <numFmt numFmtId="182" formatCode="0_ "/>
    <numFmt numFmtId="183" formatCode="0.00_ "/>
    <numFmt numFmtId="184" formatCode="0.0%"/>
    <numFmt numFmtId="185" formatCode="0.0_ "/>
    <numFmt numFmtId="186" formatCode="0.0000%"/>
    <numFmt numFmtId="187" formatCode="0.0000_ "/>
    <numFmt numFmtId="188" formatCode="0.0_);[Red]\(0.0\)"/>
    <numFmt numFmtId="189" formatCode="0.000_);[Red]\(0.000\)"/>
    <numFmt numFmtId="190" formatCode="yyyy&quot;年&quot;m&quot;月&quot;d&quot;日&quot;;@"/>
    <numFmt numFmtId="191" formatCode="yyyy&quot;年&quot;m&quot;月&quot;;@"/>
    <numFmt numFmtId="192" formatCode="0.000%"/>
    <numFmt numFmtId="193" formatCode="0_ ;[Red]\-0\ "/>
    <numFmt numFmtId="194" formatCode="0;_쐀"/>
    <numFmt numFmtId="195"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0.5"/>
      <color theme="1"/>
      <name val="宋体"/>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0.5"/>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16"/>
      <name val="宋体"/>
      <charset val="134"/>
    </font>
    <font>
      <sz val="11"/>
      <name val="宋体"/>
      <charset val="134"/>
    </font>
    <font>
      <b/>
      <sz val="14"/>
      <name val="宋体"/>
      <charset val="134"/>
    </font>
    <font>
      <sz val="14"/>
      <name val="楷体_GB2312"/>
      <charset val="134"/>
    </font>
    <font>
      <sz val="12"/>
      <name val="宋体"/>
      <charset val="0"/>
      <scheme val="minor"/>
    </font>
    <font>
      <sz val="9"/>
      <name val="宋体"/>
      <charset val="134"/>
    </font>
    <font>
      <sz val="12"/>
      <name val="楷体_GB2312"/>
      <charset val="134"/>
    </font>
    <font>
      <sz val="12"/>
      <name val="仿宋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06918546098"/>
        <bgColor indexed="64"/>
      </patternFill>
    </fill>
    <fill>
      <patternFill patternType="solid">
        <fgColor rgb="FF00B0F0"/>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5" borderId="0" applyNumberFormat="0" applyBorder="0" applyAlignment="0" applyProtection="0">
      <alignment vertical="center"/>
    </xf>
    <xf numFmtId="43" fontId="0" fillId="0" borderId="0" applyFont="0" applyFill="0" applyBorder="0" applyAlignment="0" applyProtection="0">
      <alignment vertical="center"/>
    </xf>
    <xf numFmtId="0" fontId="153" fillId="26"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9" fontId="95" fillId="0" borderId="0" applyFont="0" applyFill="0" applyBorder="0" applyAlignment="0" applyProtection="0">
      <alignment vertical="center"/>
    </xf>
    <xf numFmtId="0" fontId="0" fillId="27" borderId="177" applyNumberFormat="0" applyFont="0" applyAlignment="0" applyProtection="0">
      <alignment vertical="center"/>
    </xf>
    <xf numFmtId="0" fontId="0" fillId="0" borderId="0"/>
    <xf numFmtId="0" fontId="153" fillId="28"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1" fillId="0" borderId="178" applyNumberFormat="0" applyFill="0" applyAlignment="0" applyProtection="0">
      <alignment vertical="center"/>
    </xf>
    <xf numFmtId="0" fontId="162" fillId="0" borderId="178" applyNumberFormat="0" applyFill="0" applyAlignment="0" applyProtection="0">
      <alignment vertical="center"/>
    </xf>
    <xf numFmtId="0" fontId="153" fillId="29" borderId="0" applyNumberFormat="0" applyBorder="0" applyAlignment="0" applyProtection="0">
      <alignment vertical="center"/>
    </xf>
    <xf numFmtId="0" fontId="156" fillId="0" borderId="179" applyNumberFormat="0" applyFill="0" applyAlignment="0" applyProtection="0">
      <alignment vertical="center"/>
    </xf>
    <xf numFmtId="0" fontId="153" fillId="30" borderId="0" applyNumberFormat="0" applyBorder="0" applyAlignment="0" applyProtection="0">
      <alignment vertical="center"/>
    </xf>
    <xf numFmtId="0" fontId="163" fillId="31" borderId="180" applyNumberFormat="0" applyAlignment="0" applyProtection="0">
      <alignment vertical="center"/>
    </xf>
    <xf numFmtId="0" fontId="164" fillId="31" borderId="176" applyNumberFormat="0" applyAlignment="0" applyProtection="0">
      <alignment vertical="center"/>
    </xf>
    <xf numFmtId="0" fontId="165" fillId="32" borderId="181" applyNumberFormat="0" applyAlignment="0" applyProtection="0">
      <alignment vertical="center"/>
    </xf>
    <xf numFmtId="0" fontId="166" fillId="0" borderId="182" applyNumberFormat="0" applyFill="0" applyAlignment="0" applyProtection="0">
      <alignment vertical="center"/>
    </xf>
    <xf numFmtId="0" fontId="160" fillId="0" borderId="0">
      <alignment vertical="center"/>
    </xf>
    <xf numFmtId="0" fontId="150" fillId="33" borderId="0" applyNumberFormat="0" applyBorder="0" applyAlignment="0" applyProtection="0">
      <alignment vertical="center"/>
    </xf>
    <xf numFmtId="0" fontId="153" fillId="34" borderId="0" applyNumberFormat="0" applyBorder="0" applyAlignment="0" applyProtection="0">
      <alignment vertical="center"/>
    </xf>
    <xf numFmtId="0" fontId="167" fillId="0" borderId="183" applyNumberFormat="0" applyFill="0" applyAlignment="0" applyProtection="0">
      <alignment vertical="center"/>
    </xf>
    <xf numFmtId="0" fontId="168" fillId="35" borderId="0" applyNumberFormat="0" applyBorder="0" applyAlignment="0" applyProtection="0">
      <alignment vertical="center"/>
    </xf>
    <xf numFmtId="0" fontId="0" fillId="0" borderId="0">
      <alignment vertical="center"/>
    </xf>
    <xf numFmtId="0" fontId="0" fillId="0" borderId="0">
      <alignment vertical="center"/>
    </xf>
    <xf numFmtId="0" fontId="169" fillId="36" borderId="0" applyNumberFormat="0" applyBorder="0" applyAlignment="0" applyProtection="0">
      <alignment vertical="center"/>
    </xf>
    <xf numFmtId="0" fontId="160" fillId="0" borderId="0">
      <alignment vertical="center"/>
    </xf>
    <xf numFmtId="0" fontId="150" fillId="37" borderId="0" applyNumberFormat="0" applyBorder="0" applyAlignment="0" applyProtection="0">
      <alignment vertical="center"/>
    </xf>
    <xf numFmtId="0" fontId="153"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0" fillId="42" borderId="0" applyNumberFormat="0" applyBorder="0" applyAlignment="0" applyProtection="0">
      <alignment vertical="center"/>
    </xf>
    <xf numFmtId="0" fontId="153" fillId="43" borderId="0" applyNumberFormat="0" applyBorder="0" applyAlignment="0" applyProtection="0">
      <alignment vertical="center"/>
    </xf>
    <xf numFmtId="0" fontId="0" fillId="0" borderId="0">
      <alignment vertical="center"/>
    </xf>
    <xf numFmtId="0" fontId="153" fillId="44"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3" fillId="48" borderId="0" applyNumberFormat="0" applyBorder="0" applyAlignment="0" applyProtection="0">
      <alignment vertical="center"/>
    </xf>
    <xf numFmtId="0" fontId="153" fillId="49" borderId="0" applyNumberFormat="0" applyBorder="0" applyAlignment="0" applyProtection="0">
      <alignment vertical="center"/>
    </xf>
    <xf numFmtId="0" fontId="150" fillId="50" borderId="0" applyNumberFormat="0" applyBorder="0" applyAlignment="0" applyProtection="0">
      <alignment vertical="center"/>
    </xf>
    <xf numFmtId="0" fontId="153" fillId="51"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95" fillId="0" borderId="0"/>
    <xf numFmtId="0" fontId="0" fillId="0" borderId="0">
      <alignment vertical="center"/>
    </xf>
    <xf numFmtId="0" fontId="0" fillId="0" borderId="0">
      <alignment vertical="center"/>
    </xf>
    <xf numFmtId="0" fontId="160" fillId="0" borderId="0">
      <alignment vertical="center"/>
    </xf>
    <xf numFmtId="0" fontId="0" fillId="0" borderId="0"/>
  </cellStyleXfs>
  <cellXfs count="3723">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81"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2"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3"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78"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78"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78" fontId="17" fillId="6" borderId="23" xfId="21" applyNumberFormat="1" applyFont="1" applyFill="1" applyBorder="1" applyAlignment="1" applyProtection="1">
      <alignment horizontal="left" vertical="center" wrapText="1"/>
    </xf>
    <xf numFmtId="178"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78" fontId="17" fillId="6" borderId="23" xfId="21" applyNumberFormat="1" applyFont="1" applyFill="1" applyBorder="1" applyAlignment="1">
      <alignment horizontal="left" vertical="center" wrapText="1"/>
    </xf>
    <xf numFmtId="178"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78" fontId="17" fillId="6" borderId="22" xfId="21" applyNumberFormat="1" applyFont="1" applyFill="1" applyBorder="1" applyAlignment="1">
      <alignment horizontal="left" vertical="center" wrapText="1"/>
    </xf>
    <xf numFmtId="178"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78"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78" fontId="17" fillId="6" borderId="29" xfId="21" applyNumberFormat="1" applyFont="1" applyFill="1" applyBorder="1" applyAlignment="1">
      <alignment horizontal="left" vertical="center" wrapText="1"/>
    </xf>
    <xf numFmtId="178" fontId="17" fillId="6" borderId="31" xfId="21" applyNumberFormat="1" applyFont="1" applyFill="1" applyBorder="1" applyAlignment="1">
      <alignment horizontal="left" vertical="center" wrapText="1"/>
    </xf>
    <xf numFmtId="178" fontId="19" fillId="5" borderId="0" xfId="21" applyNumberFormat="1" applyFont="1" applyFill="1" applyAlignment="1">
      <alignment horizontal="left" vertical="center"/>
    </xf>
    <xf numFmtId="178"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2"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4" fontId="19" fillId="0" borderId="19" xfId="21" applyNumberFormat="1" applyFont="1" applyBorder="1" applyAlignment="1">
      <alignment horizontal="left" vertical="center"/>
    </xf>
    <xf numFmtId="184" fontId="19" fillId="0" borderId="0" xfId="21" applyNumberFormat="1" applyFont="1" applyAlignment="1">
      <alignment horizontal="left" vertical="center"/>
    </xf>
    <xf numFmtId="182"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2"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2"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77" fontId="19" fillId="0" borderId="0" xfId="21" applyNumberFormat="1" applyFont="1" applyAlignment="1">
      <alignment horizontal="left" vertical="center"/>
    </xf>
    <xf numFmtId="177" fontId="19" fillId="0" borderId="19" xfId="21" applyNumberFormat="1" applyFont="1" applyBorder="1" applyAlignment="1">
      <alignment horizontal="left" vertical="center"/>
    </xf>
    <xf numFmtId="177"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77" fontId="20" fillId="0" borderId="0" xfId="21" applyNumberFormat="1" applyFont="1" applyAlignment="1">
      <alignment horizontal="left" vertical="center"/>
    </xf>
    <xf numFmtId="177"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2"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2"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2" fontId="25" fillId="0" borderId="7" xfId="59" applyNumberFormat="1" applyFont="1" applyFill="1" applyBorder="1" applyAlignment="1" applyProtection="1">
      <alignment horizontal="center"/>
      <protection locked="0"/>
    </xf>
    <xf numFmtId="183"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2"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2"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2"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3"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2"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2"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3"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2" fontId="29" fillId="2" borderId="7" xfId="0" applyNumberFormat="1" applyFont="1" applyFill="1" applyBorder="1" applyAlignment="1" applyProtection="1">
      <alignment horizontal="center" vertical="center"/>
    </xf>
    <xf numFmtId="184"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2"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4" fontId="25" fillId="2" borderId="7" xfId="0" applyNumberFormat="1" applyFont="1" applyFill="1" applyBorder="1" applyAlignment="1" applyProtection="1">
      <alignment horizontal="center"/>
    </xf>
    <xf numFmtId="184" fontId="54" fillId="2" borderId="7" xfId="0" applyNumberFormat="1" applyFont="1" applyFill="1" applyBorder="1" applyAlignment="1" applyProtection="1">
      <alignment horizontal="center"/>
    </xf>
    <xf numFmtId="179" fontId="44" fillId="0" borderId="0" xfId="0" applyNumberFormat="1" applyFont="1" applyAlignment="1" applyProtection="1">
      <alignment horizontal="left" vertical="center"/>
    </xf>
    <xf numFmtId="0" fontId="0" fillId="0" borderId="0" xfId="0" applyNumberFormat="1" applyProtection="1">
      <alignment vertical="center"/>
    </xf>
    <xf numFmtId="179" fontId="55" fillId="0" borderId="0" xfId="47" applyNumberFormat="1" applyFont="1" applyBorder="1" applyAlignment="1" applyProtection="1">
      <alignment horizontal="left" vertical="center"/>
    </xf>
    <xf numFmtId="179" fontId="56" fillId="2" borderId="3" xfId="47" applyNumberFormat="1" applyFont="1" applyFill="1" applyBorder="1" applyAlignment="1" applyProtection="1">
      <alignment horizontal="left" vertical="center"/>
    </xf>
    <xf numFmtId="179" fontId="56" fillId="2" borderId="4" xfId="47" applyNumberFormat="1" applyFont="1" applyFill="1" applyBorder="1" applyAlignment="1" applyProtection="1">
      <alignment horizontal="left" vertical="center"/>
    </xf>
    <xf numFmtId="179" fontId="56" fillId="2" borderId="4" xfId="47" applyNumberFormat="1" applyFont="1" applyFill="1" applyBorder="1" applyAlignment="1" applyProtection="1">
      <alignment horizontal="left" vertical="center" wrapText="1"/>
    </xf>
    <xf numFmtId="179" fontId="56" fillId="2" borderId="6" xfId="47" applyNumberFormat="1" applyFont="1" applyFill="1" applyBorder="1" applyAlignment="1" applyProtection="1">
      <alignment horizontal="left" vertical="center"/>
    </xf>
    <xf numFmtId="179" fontId="57" fillId="2" borderId="7" xfId="47" applyNumberFormat="1" applyFont="1" applyFill="1" applyBorder="1" applyAlignment="1" applyProtection="1">
      <alignment horizontal="left" vertical="center"/>
    </xf>
    <xf numFmtId="179"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79" fontId="56" fillId="2" borderId="80" xfId="47" applyNumberFormat="1" applyFont="1" applyFill="1" applyBorder="1" applyAlignment="1" applyProtection="1">
      <alignment horizontal="left" vertical="center"/>
    </xf>
    <xf numFmtId="179" fontId="56" fillId="2" borderId="81" xfId="47" applyNumberFormat="1" applyFont="1" applyFill="1" applyBorder="1" applyAlignment="1" applyProtection="1">
      <alignment horizontal="left" vertical="center"/>
    </xf>
    <xf numFmtId="179"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79" fontId="44" fillId="2" borderId="7" xfId="0" applyNumberFormat="1" applyFont="1" applyFill="1" applyBorder="1" applyAlignment="1" applyProtection="1">
      <alignment horizontal="left" vertical="center"/>
    </xf>
    <xf numFmtId="179" fontId="56" fillId="2" borderId="9" xfId="47" applyNumberFormat="1" applyFont="1" applyFill="1" applyBorder="1" applyAlignment="1" applyProtection="1">
      <alignment horizontal="left" vertical="center" wrapText="1"/>
    </xf>
    <xf numFmtId="179" fontId="57" fillId="2" borderId="10" xfId="47" applyNumberFormat="1" applyFont="1" applyFill="1" applyBorder="1" applyAlignment="1" applyProtection="1">
      <alignment horizontal="left" vertical="center"/>
    </xf>
    <xf numFmtId="179" fontId="57" fillId="2" borderId="11" xfId="47" applyNumberFormat="1" applyFont="1" applyFill="1" applyBorder="1" applyAlignment="1" applyProtection="1">
      <alignment horizontal="left" vertical="center"/>
    </xf>
    <xf numFmtId="179"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7"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4"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7" fontId="25" fillId="2" borderId="78" xfId="0" applyNumberFormat="1" applyFont="1" applyFill="1" applyBorder="1" applyAlignment="1" applyProtection="1">
      <alignment horizontal="center" vertical="center" wrapText="1"/>
    </xf>
    <xf numFmtId="187"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4"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2"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3"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3"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2"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78"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78"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4" fontId="64" fillId="10" borderId="91" xfId="0" applyNumberFormat="1" applyFont="1" applyFill="1" applyBorder="1" applyAlignment="1" applyProtection="1">
      <alignment horizontal="left" vertical="center" wrapText="1"/>
      <protection locked="0"/>
    </xf>
    <xf numFmtId="178"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78"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4" fontId="63" fillId="2" borderId="13" xfId="0" applyNumberFormat="1" applyFont="1" applyFill="1" applyBorder="1" applyAlignment="1" applyProtection="1">
      <alignment horizontal="center" vertical="center"/>
    </xf>
    <xf numFmtId="184"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79"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78"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2"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3"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2"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38" xfId="0" applyNumberFormat="1" applyFont="1" applyFill="1" applyBorder="1" applyAlignment="1" applyProtection="1">
      <alignment horizontal="center" vertical="center"/>
    </xf>
    <xf numFmtId="184"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4"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4"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4"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4"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4" fontId="63" fillId="7" borderId="0" xfId="0" applyNumberFormat="1" applyFont="1" applyFill="1" applyBorder="1" applyAlignment="1" applyProtection="1">
      <alignment vertical="center" wrapText="1"/>
      <protection locked="0"/>
    </xf>
    <xf numFmtId="179"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4"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4"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4"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4"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78"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78"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2"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4"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79"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79"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4"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4"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79"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4"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4"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4"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4"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4"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4" fontId="63" fillId="2" borderId="0" xfId="0" applyNumberFormat="1" applyFont="1" applyFill="1" applyBorder="1" applyAlignment="1" applyProtection="1">
      <alignment vertical="center" wrapText="1"/>
      <protection locked="0"/>
    </xf>
    <xf numFmtId="184"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2" fillId="0" borderId="0" xfId="61" applyFont="1" applyAlignment="1">
      <alignment horizontal="left"/>
    </xf>
    <xf numFmtId="0" fontId="92" fillId="0" borderId="0" xfId="61" applyFont="1" applyFill="1" applyAlignment="1" applyProtection="1">
      <alignment horizontal="left"/>
      <protection locked="0"/>
    </xf>
    <xf numFmtId="0" fontId="92" fillId="0" borderId="0" xfId="61" applyFont="1" applyAlignment="1" applyProtection="1">
      <alignment horizontal="left"/>
      <protection locked="0"/>
    </xf>
    <xf numFmtId="0" fontId="93" fillId="0" borderId="0" xfId="61" applyFont="1" applyAlignment="1" applyProtection="1">
      <alignment horizontal="left"/>
      <protection locked="0"/>
    </xf>
    <xf numFmtId="0" fontId="93" fillId="0" borderId="0" xfId="61" applyFont="1" applyAlignment="1" applyProtection="1">
      <alignment horizontal="left" vertical="center"/>
      <protection locked="0"/>
    </xf>
    <xf numFmtId="49" fontId="94"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78"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79"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78"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78" fontId="29" fillId="2" borderId="111" xfId="61" applyNumberFormat="1" applyFont="1" applyFill="1" applyBorder="1" applyAlignment="1">
      <alignment horizontal="left" vertical="center"/>
    </xf>
    <xf numFmtId="178"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78"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4"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78" fontId="25" fillId="2" borderId="7" xfId="61" applyNumberFormat="1" applyFont="1" applyFill="1" applyBorder="1" applyAlignment="1">
      <alignment horizontal="left" vertical="center"/>
    </xf>
    <xf numFmtId="184"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79" fontId="25" fillId="0" borderId="7" xfId="61" applyNumberFormat="1" applyFont="1" applyFill="1" applyBorder="1" applyAlignment="1" applyProtection="1">
      <alignment horizontal="left" vertical="center"/>
      <protection locked="0"/>
    </xf>
    <xf numFmtId="184" fontId="25" fillId="2" borderId="14" xfId="61" applyNumberFormat="1" applyFont="1" applyFill="1" applyBorder="1" applyAlignment="1">
      <alignment horizontal="right" vertical="center"/>
    </xf>
    <xf numFmtId="182" fontId="25" fillId="0" borderId="7" xfId="61" applyNumberFormat="1" applyFont="1" applyFill="1" applyBorder="1" applyAlignment="1" applyProtection="1">
      <alignment horizontal="left" vertical="center"/>
      <protection locked="0"/>
    </xf>
    <xf numFmtId="178" fontId="25" fillId="0" borderId="7" xfId="61" applyNumberFormat="1" applyFont="1" applyFill="1" applyBorder="1" applyAlignment="1" applyProtection="1">
      <alignment horizontal="left" vertical="center"/>
      <protection locked="0"/>
    </xf>
    <xf numFmtId="184"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78" fontId="29" fillId="2" borderId="10" xfId="61" applyNumberFormat="1" applyFont="1" applyFill="1" applyBorder="1" applyAlignment="1">
      <alignment horizontal="left" vertical="center"/>
    </xf>
    <xf numFmtId="184"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78" fontId="29" fillId="2" borderId="39" xfId="61" applyNumberFormat="1" applyFont="1" applyFill="1" applyBorder="1" applyAlignment="1">
      <alignment horizontal="left" vertical="center"/>
    </xf>
    <xf numFmtId="184"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0"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0"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78" fontId="25" fillId="2" borderId="13" xfId="61" applyNumberFormat="1" applyFont="1" applyFill="1" applyBorder="1" applyAlignment="1">
      <alignment horizontal="left" vertical="center"/>
    </xf>
    <xf numFmtId="178" fontId="25" fillId="2" borderId="150" xfId="61" applyNumberFormat="1" applyFont="1" applyFill="1" applyBorder="1" applyAlignment="1">
      <alignment horizontal="left" vertical="center"/>
    </xf>
    <xf numFmtId="178"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78" fontId="25" fillId="2" borderId="13" xfId="61" applyNumberFormat="1" applyFont="1" applyFill="1" applyBorder="1" applyAlignment="1">
      <alignment horizontal="right" vertical="center"/>
    </xf>
    <xf numFmtId="184" fontId="25" fillId="0" borderId="150" xfId="61" applyNumberFormat="1" applyFont="1" applyFill="1" applyBorder="1" applyAlignment="1" applyProtection="1">
      <alignment horizontal="right" vertical="center"/>
      <protection locked="0"/>
    </xf>
    <xf numFmtId="184"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4"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4" fontId="25" fillId="2" borderId="150" xfId="61" applyNumberFormat="1" applyFont="1" applyFill="1" applyBorder="1" applyAlignment="1">
      <alignment horizontal="right" vertical="center"/>
    </xf>
    <xf numFmtId="184" fontId="25" fillId="0" borderId="13" xfId="61" applyNumberFormat="1" applyFont="1" applyFill="1" applyBorder="1" applyAlignment="1" applyProtection="1">
      <alignment horizontal="right" vertical="center"/>
      <protection locked="0"/>
    </xf>
    <xf numFmtId="0" fontId="25" fillId="2" borderId="150"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0"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4" fontId="25" fillId="0" borderId="13" xfId="61" applyNumberFormat="1" applyFont="1" applyFill="1" applyBorder="1" applyAlignment="1" applyProtection="1">
      <alignment horizontal="left" vertical="center"/>
      <protection locked="0"/>
    </xf>
    <xf numFmtId="184" fontId="25" fillId="0" borderId="150" xfId="61" applyNumberFormat="1" applyFont="1" applyFill="1" applyBorder="1" applyAlignment="1" applyProtection="1">
      <alignment horizontal="left" vertical="center"/>
      <protection locked="0"/>
    </xf>
    <xf numFmtId="184" fontId="25" fillId="0" borderId="14" xfId="61" applyNumberFormat="1" applyFont="1" applyFill="1" applyBorder="1" applyAlignment="1" applyProtection="1">
      <alignment horizontal="left" vertical="center"/>
      <protection locked="0"/>
    </xf>
    <xf numFmtId="179"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79" fontId="25" fillId="0" borderId="75" xfId="61" applyNumberFormat="1" applyFont="1" applyFill="1" applyBorder="1" applyAlignment="1" applyProtection="1">
      <alignment horizontal="left" vertical="center"/>
      <protection locked="0"/>
    </xf>
    <xf numFmtId="179" fontId="25" fillId="0" borderId="151" xfId="61" applyNumberFormat="1" applyFont="1" applyFill="1" applyBorder="1" applyAlignment="1" applyProtection="1">
      <alignment horizontal="left" vertical="center"/>
      <protection locked="0"/>
    </xf>
    <xf numFmtId="179" fontId="25" fillId="0" borderId="96" xfId="61" applyNumberFormat="1" applyFont="1" applyFill="1" applyBorder="1" applyAlignment="1" applyProtection="1">
      <alignment horizontal="left" vertical="center"/>
      <protection locked="0"/>
    </xf>
    <xf numFmtId="179"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78"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78"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2"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2"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5"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2" fontId="19" fillId="0" borderId="8" xfId="59" applyNumberFormat="1" applyFont="1" applyBorder="1" applyAlignment="1" applyProtection="1">
      <alignment horizontal="left" vertical="center"/>
      <protection locked="0" hidden="1"/>
    </xf>
    <xf numFmtId="182"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2" fontId="29" fillId="2" borderId="7" xfId="61" applyNumberFormat="1" applyFont="1" applyFill="1" applyBorder="1" applyAlignment="1" applyProtection="1">
      <alignment horizontal="left" vertical="center"/>
      <protection locked="0"/>
    </xf>
    <xf numFmtId="182"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4" fontId="19" fillId="0" borderId="10" xfId="61" applyNumberFormat="1" applyFont="1" applyFill="1" applyBorder="1" applyAlignment="1" applyProtection="1">
      <alignment horizontal="left" vertical="center"/>
      <protection locked="0"/>
    </xf>
    <xf numFmtId="0" fontId="96"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2"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3"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2"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2"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4"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4"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4"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4"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3"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4"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4"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4"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4"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3"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3"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4"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4"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3"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3"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4"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4"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78" fontId="25" fillId="2" borderId="7" xfId="0" applyNumberFormat="1" applyFont="1" applyFill="1" applyBorder="1" applyAlignment="1" applyProtection="1">
      <alignment horizontal="center"/>
    </xf>
    <xf numFmtId="184"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93" fontId="19" fillId="2" borderId="72" xfId="0" applyNumberFormat="1" applyFont="1" applyFill="1" applyBorder="1" applyAlignment="1" applyProtection="1">
      <alignment vertical="center" wrapText="1"/>
    </xf>
    <xf numFmtId="0" fontId="0" fillId="0" borderId="0" xfId="0" applyAlignment="1">
      <alignment vertical="center" wrapText="1"/>
    </xf>
    <xf numFmtId="0" fontId="0" fillId="0" borderId="7" xfId="0" applyBorder="1" applyAlignment="1">
      <alignment horizontal="center" vertical="center" wrapText="1"/>
    </xf>
    <xf numFmtId="0" fontId="99" fillId="0" borderId="7" xfId="0" applyFont="1" applyBorder="1" applyAlignment="1">
      <alignment horizontal="center" vertical="center" wrapText="1"/>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100" fillId="2" borderId="0" xfId="0" applyFont="1" applyFill="1" applyBorder="1" applyAlignment="1" applyProtection="1">
      <alignment vertical="center"/>
      <protection locked="0"/>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1" fillId="0" borderId="94" xfId="0" applyFont="1" applyFill="1" applyBorder="1" applyAlignment="1" applyProtection="1">
      <alignment horizontal="center" vertical="center" wrapText="1"/>
      <protection locked="0"/>
    </xf>
    <xf numFmtId="0" fontId="101" fillId="0" borderId="68" xfId="0" applyFont="1" applyFill="1" applyBorder="1" applyAlignment="1" applyProtection="1">
      <alignment horizontal="center" vertical="center" wrapText="1"/>
      <protection locked="0"/>
    </xf>
    <xf numFmtId="0" fontId="71" fillId="17" borderId="99" xfId="0" applyNumberFormat="1" applyFont="1" applyFill="1" applyBorder="1" applyAlignment="1" applyProtection="1">
      <alignment horizontal="center" vertical="center" wrapText="1"/>
    </xf>
    <xf numFmtId="0" fontId="71" fillId="17" borderId="101" xfId="0" applyNumberFormat="1" applyFont="1" applyFill="1" applyBorder="1" applyAlignment="1" applyProtection="1">
      <alignment horizontal="center" vertical="center" wrapText="1"/>
    </xf>
    <xf numFmtId="49" fontId="71" fillId="15" borderId="100" xfId="0" applyNumberFormat="1"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49" fontId="102" fillId="0" borderId="119" xfId="0" applyNumberFormat="1" applyFont="1" applyFill="1" applyBorder="1" applyAlignment="1" applyProtection="1">
      <alignment horizontal="center" vertical="center" wrapText="1"/>
      <protection locked="0"/>
    </xf>
    <xf numFmtId="49" fontId="102"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4"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0" fontId="63" fillId="17" borderId="8"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79"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2" fillId="0" borderId="136" xfId="0" applyNumberFormat="1" applyFont="1" applyFill="1" applyBorder="1" applyAlignment="1" applyProtection="1">
      <alignment horizontal="center" vertical="center" wrapText="1"/>
      <protection locked="0"/>
    </xf>
    <xf numFmtId="0" fontId="102" fillId="0" borderId="147" xfId="0" applyNumberFormat="1" applyFont="1" applyFill="1" applyBorder="1" applyAlignment="1" applyProtection="1">
      <alignment horizontal="center" vertical="center"/>
      <protection locked="0"/>
    </xf>
    <xf numFmtId="49" fontId="102" fillId="0" borderId="136" xfId="0" applyNumberFormat="1" applyFont="1" applyFill="1" applyBorder="1" applyAlignment="1" applyProtection="1">
      <alignment horizontal="center" vertical="center" wrapText="1"/>
      <protection locked="0"/>
    </xf>
    <xf numFmtId="49" fontId="78" fillId="0" borderId="136"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63" fillId="17" borderId="2" xfId="0" applyNumberFormat="1" applyFont="1" applyFill="1" applyBorder="1" applyAlignment="1" applyProtection="1">
      <alignment horizontal="center" vertical="center" wrapText="1"/>
    </xf>
    <xf numFmtId="0" fontId="103" fillId="0" borderId="136"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49" fontId="78" fillId="0" borderId="136" xfId="0" applyNumberFormat="1" applyFont="1" applyFill="1" applyBorder="1" applyAlignment="1" applyProtection="1">
      <alignment horizontal="left" vertical="center" wrapText="1"/>
      <protection locked="0"/>
    </xf>
    <xf numFmtId="49" fontId="78" fillId="0" borderId="138" xfId="0" applyNumberFormat="1" applyFont="1" applyFill="1" applyBorder="1" applyAlignment="1" applyProtection="1">
      <alignment horizontal="center"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78"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78"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78"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78" fontId="54" fillId="0" borderId="7" xfId="0" applyNumberFormat="1" applyFont="1" applyFill="1" applyBorder="1" applyAlignment="1" applyProtection="1">
      <alignment horizontal="center" vertical="center"/>
      <protection locked="0"/>
    </xf>
    <xf numFmtId="179"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78" fontId="19" fillId="0" borderId="12" xfId="0" applyNumberFormat="1" applyFont="1" applyFill="1" applyBorder="1" applyAlignment="1" applyProtection="1">
      <alignment horizontal="center" vertical="center"/>
      <protection locked="0"/>
    </xf>
    <xf numFmtId="178"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78"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2" fontId="54" fillId="2" borderId="7" xfId="0" applyNumberFormat="1" applyFont="1" applyFill="1" applyBorder="1" applyAlignment="1" applyProtection="1">
      <alignment horizontal="center" vertical="center"/>
    </xf>
    <xf numFmtId="183"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2" fontId="54" fillId="2" borderId="7" xfId="59" applyNumberFormat="1" applyFont="1" applyFill="1" applyBorder="1" applyAlignment="1" applyProtection="1">
      <alignment horizontal="center" vertical="center"/>
    </xf>
    <xf numFmtId="182"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82"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82"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2" fontId="84" fillId="2" borderId="0" xfId="0" applyNumberFormat="1" applyFont="1" applyFill="1" applyBorder="1" applyAlignment="1" applyProtection="1">
      <alignment horizontal="center" vertical="center"/>
    </xf>
    <xf numFmtId="182"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82"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2"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82"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82"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2"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2" fontId="84" fillId="2" borderId="75" xfId="0" applyNumberFormat="1" applyFont="1" applyFill="1" applyBorder="1" applyAlignment="1" applyProtection="1">
      <alignment vertical="center"/>
    </xf>
    <xf numFmtId="182"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78"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78"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79" fontId="19" fillId="2" borderId="8" xfId="0" applyNumberFormat="1" applyFont="1" applyFill="1" applyBorder="1" applyAlignment="1" applyProtection="1">
      <alignment horizontal="center" vertical="center"/>
    </xf>
    <xf numFmtId="178"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2"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4"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7"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3"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4" fontId="106"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4"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4"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2"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80"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4"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2"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2"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2"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4"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4"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3"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3"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3"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3"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77"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3" fontId="71" fillId="2" borderId="4" xfId="0" applyNumberFormat="1" applyFont="1" applyFill="1" applyBorder="1" applyAlignment="1" applyProtection="1">
      <alignment horizontal="center" vertical="center" wrapText="1"/>
    </xf>
    <xf numFmtId="182" fontId="54" fillId="2" borderId="6" xfId="59" applyNumberFormat="1" applyFont="1" applyFill="1" applyBorder="1" applyAlignment="1" applyProtection="1">
      <alignment horizontal="left" vertical="center"/>
    </xf>
    <xf numFmtId="182" fontId="71" fillId="2" borderId="7" xfId="59" applyNumberFormat="1" applyFont="1" applyFill="1" applyBorder="1" applyAlignment="1" applyProtection="1">
      <alignment vertical="center"/>
    </xf>
    <xf numFmtId="182" fontId="71" fillId="15" borderId="13" xfId="59" applyNumberFormat="1" applyFont="1" applyFill="1" applyBorder="1" applyAlignment="1" applyProtection="1">
      <alignment vertical="center"/>
      <protection locked="0"/>
    </xf>
    <xf numFmtId="182" fontId="54" fillId="2" borderId="6" xfId="59"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3" fontId="63" fillId="2" borderId="7" xfId="59" applyNumberFormat="1" applyFont="1" applyFill="1" applyBorder="1" applyAlignment="1" applyProtection="1">
      <alignment horizontal="center" vertical="center"/>
    </xf>
    <xf numFmtId="177" fontId="63" fillId="2" borderId="7" xfId="59"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vertical="center"/>
      <protection locked="0"/>
    </xf>
    <xf numFmtId="184" fontId="71" fillId="0" borderId="7" xfId="0" applyNumberFormat="1" applyFont="1" applyFill="1" applyBorder="1" applyAlignment="1" applyProtection="1">
      <alignment horizontal="center" vertical="center"/>
      <protection locked="0"/>
    </xf>
    <xf numFmtId="182" fontId="71" fillId="2" borderId="6" xfId="59" applyNumberFormat="1" applyFont="1" applyFill="1" applyBorder="1" applyAlignment="1" applyProtection="1">
      <alignment horizontal="left" vertical="center" wrapText="1"/>
      <protection locked="0"/>
    </xf>
    <xf numFmtId="182" fontId="71" fillId="2" borderId="13" xfId="59" applyNumberFormat="1" applyFont="1" applyFill="1" applyBorder="1" applyAlignment="1" applyProtection="1">
      <alignment vertical="center"/>
    </xf>
    <xf numFmtId="184"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4"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3"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3" fontId="71" fillId="7" borderId="0" xfId="0" applyNumberFormat="1" applyFont="1" applyFill="1" applyAlignment="1" applyProtection="1">
      <alignment vertical="center"/>
      <protection locked="0"/>
    </xf>
    <xf numFmtId="179" fontId="63" fillId="2" borderId="3" xfId="59" applyNumberFormat="1" applyFont="1" applyFill="1" applyBorder="1" applyAlignment="1" applyProtection="1">
      <alignment vertical="center" wrapText="1"/>
    </xf>
    <xf numFmtId="179" fontId="63" fillId="0" borderId="5" xfId="59"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79" fontId="63" fillId="2" borderId="6" xfId="59" applyNumberFormat="1" applyFont="1" applyFill="1" applyBorder="1" applyAlignment="1" applyProtection="1">
      <alignment vertical="center" wrapText="1"/>
    </xf>
    <xf numFmtId="179"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79" fontId="71" fillId="2" borderId="6" xfId="59" applyNumberFormat="1" applyFont="1" applyFill="1" applyBorder="1" applyAlignment="1" applyProtection="1">
      <alignment vertical="center" wrapText="1"/>
    </xf>
    <xf numFmtId="179" fontId="63" fillId="2" borderId="8" xfId="59" applyNumberFormat="1" applyFont="1" applyFill="1" applyBorder="1" applyAlignment="1" applyProtection="1">
      <alignment horizontal="center" vertical="center"/>
    </xf>
    <xf numFmtId="179" fontId="63" fillId="2" borderId="9" xfId="59" applyNumberFormat="1" applyFont="1" applyFill="1" applyBorder="1" applyAlignment="1" applyProtection="1">
      <alignment vertical="center" wrapText="1"/>
    </xf>
    <xf numFmtId="179"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83"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4"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4" fontId="54" fillId="0" borderId="8" xfId="0" applyNumberFormat="1" applyFont="1" applyFill="1" applyBorder="1" applyAlignment="1" applyProtection="1">
      <alignment horizontal="center" vertical="center"/>
      <protection locked="0"/>
    </xf>
    <xf numFmtId="183" fontId="91" fillId="7" borderId="0" xfId="0" applyNumberFormat="1" applyFont="1" applyFill="1" applyAlignment="1" applyProtection="1">
      <alignment vertical="center"/>
      <protection locked="0"/>
    </xf>
    <xf numFmtId="184" fontId="54" fillId="0" borderId="11" xfId="0" applyNumberFormat="1" applyFont="1" applyFill="1" applyBorder="1" applyAlignment="1" applyProtection="1">
      <alignment horizontal="center" vertical="center"/>
      <protection locked="0"/>
    </xf>
    <xf numFmtId="184" fontId="54" fillId="18" borderId="85" xfId="0" applyNumberFormat="1" applyFont="1" applyFill="1" applyBorder="1" applyAlignment="1" applyProtection="1">
      <alignment horizontal="center" vertical="center"/>
      <protection locked="0"/>
    </xf>
    <xf numFmtId="184" fontId="54" fillId="18" borderId="8" xfId="0" applyNumberFormat="1" applyFont="1" applyFill="1" applyBorder="1" applyAlignment="1" applyProtection="1">
      <alignment horizontal="center" vertical="center"/>
      <protection locked="0"/>
    </xf>
    <xf numFmtId="184"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4" fontId="24" fillId="7" borderId="0" xfId="0" applyNumberFormat="1" applyFont="1" applyFill="1" applyAlignment="1" applyProtection="1">
      <alignment horizontal="center" vertical="center"/>
    </xf>
    <xf numFmtId="192"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2"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3"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3" fontId="54" fillId="2" borderId="6" xfId="59" applyNumberFormat="1" applyFont="1" applyFill="1" applyBorder="1" applyAlignment="1" applyProtection="1">
      <alignment horizontal="center" vertical="center"/>
    </xf>
    <xf numFmtId="182" fontId="54" fillId="18"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2" fontId="54" fillId="0" borderId="7" xfId="59" applyNumberFormat="1" applyFont="1" applyFill="1" applyBorder="1" applyAlignment="1" applyProtection="1">
      <alignment horizontal="center" vertical="center"/>
      <protection locked="0"/>
    </xf>
    <xf numFmtId="182"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2"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79"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18" borderId="13" xfId="0" applyNumberFormat="1" applyFont="1" applyFill="1" applyBorder="1" applyAlignment="1" applyProtection="1">
      <alignment horizontal="center" vertical="center"/>
      <protection locked="0"/>
    </xf>
    <xf numFmtId="183" fontId="71" fillId="2" borderId="6" xfId="59" applyNumberFormat="1" applyFont="1" applyFill="1" applyBorder="1" applyAlignment="1" applyProtection="1">
      <alignment horizontal="center" vertical="center"/>
    </xf>
    <xf numFmtId="183"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3" fontId="71" fillId="0" borderId="6" xfId="0" applyNumberFormat="1" applyFont="1" applyBorder="1" applyAlignment="1" applyProtection="1">
      <alignment horizontal="center" vertical="center"/>
      <protection locked="0"/>
    </xf>
    <xf numFmtId="184" fontId="71" fillId="0" borderId="7" xfId="0" applyNumberFormat="1" applyFont="1" applyBorder="1" applyAlignment="1" applyProtection="1">
      <alignment vertical="center"/>
      <protection locked="0"/>
    </xf>
    <xf numFmtId="184"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83" fontId="54" fillId="0" borderId="6" xfId="0" applyNumberFormat="1" applyFont="1" applyBorder="1" applyAlignment="1" applyProtection="1">
      <alignment horizontal="center" vertical="center"/>
      <protection locked="0"/>
    </xf>
    <xf numFmtId="184"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3"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4" fontId="71" fillId="2" borderId="7" xfId="0" applyNumberFormat="1" applyFont="1" applyFill="1" applyBorder="1" applyAlignment="1" applyProtection="1">
      <alignment vertical="center"/>
    </xf>
    <xf numFmtId="184"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3" fontId="71" fillId="2" borderId="9" xfId="59" applyNumberFormat="1" applyFont="1" applyFill="1" applyBorder="1" applyAlignment="1" applyProtection="1">
      <alignment horizontal="center" vertical="center"/>
    </xf>
    <xf numFmtId="183"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4"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4"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4"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4"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4"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4"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4"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4"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3"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3"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79"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79"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79"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79"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79" fontId="64" fillId="2" borderId="66" xfId="59" applyNumberFormat="1" applyFont="1" applyFill="1" applyBorder="1" applyAlignment="1" applyProtection="1">
      <alignment horizontal="center" vertical="center"/>
    </xf>
    <xf numFmtId="179" fontId="64" fillId="2" borderId="83" xfId="59" applyNumberFormat="1" applyFont="1" applyFill="1" applyBorder="1" applyAlignment="1" applyProtection="1">
      <alignment horizontal="center" vertical="center"/>
    </xf>
    <xf numFmtId="179"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79"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2" fontId="67" fillId="0" borderId="7" xfId="59" applyNumberFormat="1" applyFont="1" applyFill="1" applyBorder="1" applyAlignment="1" applyProtection="1">
      <alignment vertical="center"/>
      <protection locked="0" hidden="1"/>
    </xf>
    <xf numFmtId="179"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2" fontId="119"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2" fontId="71" fillId="0" borderId="14" xfId="59" applyNumberFormat="1" applyFont="1" applyFill="1" applyBorder="1" applyAlignment="1" applyProtection="1">
      <alignment vertical="center"/>
      <protection locked="0"/>
    </xf>
    <xf numFmtId="179" fontId="84" fillId="2" borderId="7" xfId="0" applyNumberFormat="1" applyFont="1" applyFill="1" applyBorder="1" applyAlignment="1" applyProtection="1">
      <alignment vertical="center"/>
    </xf>
    <xf numFmtId="179" fontId="84" fillId="2" borderId="7" xfId="0" applyNumberFormat="1" applyFont="1" applyFill="1" applyBorder="1" applyAlignment="1" applyProtection="1">
      <alignment horizontal="center" vertical="center"/>
    </xf>
    <xf numFmtId="179" fontId="84" fillId="2" borderId="8" xfId="0" applyNumberFormat="1" applyFont="1" applyFill="1" applyBorder="1" applyAlignment="1" applyProtection="1">
      <alignment vertical="center"/>
    </xf>
    <xf numFmtId="179"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3" fontId="84" fillId="2" borderId="96" xfId="0" applyNumberFormat="1" applyFont="1" applyFill="1" applyBorder="1" applyAlignment="1" applyProtection="1">
      <alignment vertical="center"/>
    </xf>
    <xf numFmtId="183" fontId="84" fillId="2" borderId="10" xfId="0" applyNumberFormat="1" applyFont="1" applyFill="1" applyBorder="1" applyAlignment="1" applyProtection="1">
      <alignment vertical="center"/>
    </xf>
    <xf numFmtId="183"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3" fontId="71" fillId="2" borderId="16" xfId="0" applyNumberFormat="1" applyFont="1" applyFill="1" applyBorder="1" applyProtection="1">
      <alignment vertical="center"/>
    </xf>
    <xf numFmtId="179"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3"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79"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79"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79"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3" fontId="54" fillId="0" borderId="7" xfId="0" applyNumberFormat="1" applyFont="1" applyBorder="1" applyAlignment="1" applyProtection="1">
      <alignment horizontal="center" vertical="center" wrapText="1"/>
      <protection locked="0"/>
    </xf>
    <xf numFmtId="183"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3" fontId="54" fillId="2" borderId="0" xfId="0" applyNumberFormat="1" applyFont="1" applyFill="1" applyBorder="1" applyAlignment="1" applyProtection="1">
      <alignment horizontal="center" vertical="center" wrapText="1"/>
    </xf>
    <xf numFmtId="183" fontId="66" fillId="2" borderId="0"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179" fontId="54" fillId="2" borderId="15" xfId="0" applyNumberFormat="1" applyFont="1" applyFill="1" applyBorder="1" applyAlignment="1" applyProtection="1">
      <alignment horizontal="center" vertical="center" wrapText="1"/>
    </xf>
    <xf numFmtId="179" fontId="54" fillId="2" borderId="14" xfId="0" applyNumberFormat="1" applyFont="1" applyFill="1" applyBorder="1" applyAlignment="1" applyProtection="1">
      <alignment horizontal="center" vertical="center" wrapText="1"/>
    </xf>
    <xf numFmtId="179"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3" fontId="54" fillId="2" borderId="13" xfId="0" applyNumberFormat="1" applyFont="1" applyFill="1" applyBorder="1" applyAlignment="1" applyProtection="1">
      <alignment horizontal="left" vertical="center"/>
    </xf>
    <xf numFmtId="183"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3"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3"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79" fontId="54" fillId="0" borderId="16" xfId="0" applyNumberFormat="1" applyFont="1" applyFill="1" applyBorder="1" applyAlignment="1" applyProtection="1">
      <alignment horizontal="center" vertical="center" wrapText="1"/>
      <protection locked="0"/>
    </xf>
    <xf numFmtId="179"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79" fontId="71" fillId="2" borderId="7" xfId="0" applyNumberFormat="1" applyFont="1" applyFill="1" applyBorder="1" applyAlignment="1" applyProtection="1">
      <alignment horizontal="center" vertical="center" wrapText="1"/>
    </xf>
    <xf numFmtId="179" fontId="71" fillId="0" borderId="16" xfId="0" applyNumberFormat="1" applyFont="1" applyFill="1" applyBorder="1" applyAlignment="1" applyProtection="1">
      <alignment horizontal="center" vertical="center" wrapText="1"/>
      <protection locked="0"/>
    </xf>
    <xf numFmtId="179" fontId="71" fillId="2" borderId="16" xfId="0" applyNumberFormat="1" applyFont="1" applyFill="1" applyBorder="1" applyAlignment="1" applyProtection="1">
      <alignment horizontal="center" vertical="center" wrapText="1"/>
    </xf>
    <xf numFmtId="179"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79" fontId="54" fillId="0" borderId="7" xfId="0" applyNumberFormat="1" applyFont="1" applyBorder="1" applyAlignment="1" applyProtection="1">
      <alignment vertical="center" wrapText="1"/>
      <protection locked="0"/>
    </xf>
    <xf numFmtId="179" fontId="71" fillId="0" borderId="7" xfId="0" applyNumberFormat="1" applyFont="1" applyBorder="1" applyAlignment="1" applyProtection="1">
      <alignment vertical="center" wrapText="1"/>
      <protection locked="0"/>
    </xf>
    <xf numFmtId="183"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3"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3" fontId="54" fillId="2" borderId="16" xfId="0" applyNumberFormat="1" applyFont="1" applyFill="1" applyBorder="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79"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3"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79"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79"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79" fontId="54" fillId="0" borderId="7" xfId="0" applyNumberFormat="1" applyFont="1" applyFill="1" applyBorder="1" applyAlignment="1" applyProtection="1">
      <alignment horizontal="center" vertical="center" wrapText="1"/>
      <protection locked="0"/>
    </xf>
    <xf numFmtId="179"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79" fontId="54" fillId="2" borderId="4" xfId="0" applyNumberFormat="1" applyFont="1" applyFill="1" applyBorder="1" applyAlignment="1" applyProtection="1">
      <alignment horizontal="center" vertical="center" wrapText="1"/>
    </xf>
    <xf numFmtId="179" fontId="54" fillId="2" borderId="6" xfId="0" applyNumberFormat="1" applyFont="1" applyFill="1" applyBorder="1" applyAlignment="1" applyProtection="1">
      <alignment horizontal="center" vertical="center" wrapText="1"/>
    </xf>
    <xf numFmtId="183"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3"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3" fontId="54" fillId="2" borderId="103" xfId="0" applyNumberFormat="1" applyFont="1" applyFill="1" applyBorder="1" applyAlignment="1" applyProtection="1">
      <alignment horizontal="center" vertical="center"/>
    </xf>
    <xf numFmtId="179" fontId="54" fillId="2" borderId="5" xfId="0" applyNumberFormat="1" applyFont="1" applyFill="1" applyBorder="1" applyAlignment="1" applyProtection="1">
      <alignment horizontal="center" vertical="center" wrapText="1"/>
    </xf>
    <xf numFmtId="179"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wrapText="1"/>
    </xf>
    <xf numFmtId="179"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79"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9"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2"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3"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183"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3"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3"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2" applyFont="1" applyFill="1" applyAlignment="1">
      <alignment horizontal="left" vertical="center"/>
    </xf>
    <xf numFmtId="0" fontId="123" fillId="0" borderId="0" xfId="62" applyFont="1" applyAlignment="1">
      <alignment horizontal="left" vertical="center"/>
    </xf>
    <xf numFmtId="0" fontId="122"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3" borderId="12" xfId="62" applyFont="1" applyFill="1" applyBorder="1" applyAlignment="1">
      <alignment horizontal="left" vertical="center"/>
    </xf>
    <xf numFmtId="0" fontId="128" fillId="0" borderId="7" xfId="62" applyFont="1" applyBorder="1" applyAlignment="1">
      <alignment horizontal="left" vertical="center"/>
    </xf>
    <xf numFmtId="0" fontId="128" fillId="0" borderId="13" xfId="62" applyFont="1" applyBorder="1" applyAlignment="1">
      <alignment horizontal="left" vertical="center"/>
    </xf>
    <xf numFmtId="0" fontId="127" fillId="3" borderId="173" xfId="62" applyFont="1" applyFill="1" applyBorder="1" applyAlignment="1">
      <alignment horizontal="left" vertical="center"/>
    </xf>
    <xf numFmtId="0" fontId="128" fillId="0" borderId="7" xfId="62" applyFont="1" applyFill="1" applyBorder="1" applyAlignment="1">
      <alignment horizontal="left" vertical="center"/>
    </xf>
    <xf numFmtId="180" fontId="128" fillId="0" borderId="7" xfId="62" applyNumberFormat="1" applyFont="1" applyFill="1" applyBorder="1" applyAlignment="1">
      <alignment horizontal="left" vertical="center"/>
    </xf>
    <xf numFmtId="180" fontId="129" fillId="0" borderId="13" xfId="62" applyNumberFormat="1" applyFont="1" applyFill="1" applyBorder="1" applyAlignment="1">
      <alignment horizontal="left" vertical="center"/>
    </xf>
    <xf numFmtId="0" fontId="128" fillId="0" borderId="174" xfId="62" applyFont="1" applyFill="1" applyBorder="1" applyAlignment="1">
      <alignment horizontal="left" vertical="center"/>
    </xf>
    <xf numFmtId="190" fontId="128" fillId="0" borderId="7" xfId="62" applyNumberFormat="1" applyFont="1" applyFill="1" applyBorder="1" applyAlignment="1">
      <alignment horizontal="left" vertical="center"/>
    </xf>
    <xf numFmtId="0" fontId="129" fillId="0" borderId="7" xfId="62" applyFont="1" applyFill="1" applyBorder="1" applyAlignment="1">
      <alignment horizontal="left" vertical="center"/>
    </xf>
    <xf numFmtId="180" fontId="128" fillId="0" borderId="13" xfId="62" applyNumberFormat="1" applyFont="1" applyFill="1" applyBorder="1" applyAlignment="1">
      <alignment horizontal="left" vertical="center"/>
    </xf>
    <xf numFmtId="0" fontId="129" fillId="0" borderId="0" xfId="62" applyFont="1" applyFill="1" applyAlignment="1">
      <alignment horizontal="left" vertical="center"/>
    </xf>
    <xf numFmtId="0" fontId="127" fillId="3" borderId="7" xfId="62" applyFont="1" applyFill="1" applyBorder="1" applyAlignment="1">
      <alignment horizontal="left" vertical="center"/>
    </xf>
    <xf numFmtId="0" fontId="128" fillId="0" borderId="174" xfId="62" applyFont="1" applyBorder="1" applyAlignment="1">
      <alignment horizontal="left" vertical="center"/>
    </xf>
    <xf numFmtId="0" fontId="127" fillId="0" borderId="7" xfId="62" applyFont="1" applyFill="1" applyBorder="1" applyAlignment="1">
      <alignment horizontal="left" vertical="center"/>
    </xf>
    <xf numFmtId="0" fontId="125" fillId="0" borderId="7" xfId="62" applyFont="1" applyBorder="1" applyAlignment="1">
      <alignment horizontal="left" vertical="center"/>
    </xf>
    <xf numFmtId="190" fontId="128" fillId="0" borderId="13" xfId="62" applyNumberFormat="1" applyFont="1" applyFill="1" applyBorder="1" applyAlignment="1">
      <alignment horizontal="left" vertical="center"/>
    </xf>
    <xf numFmtId="0" fontId="125" fillId="0" borderId="174" xfId="62" applyFont="1" applyBorder="1" applyAlignment="1">
      <alignment horizontal="left" vertical="center"/>
    </xf>
    <xf numFmtId="0" fontId="130" fillId="0" borderId="7" xfId="62" applyFont="1" applyBorder="1" applyAlignment="1">
      <alignment horizontal="left" vertical="center"/>
    </xf>
    <xf numFmtId="190" fontId="130" fillId="0" borderId="7" xfId="0" applyNumberFormat="1" applyFont="1" applyFill="1" applyBorder="1" applyAlignment="1">
      <alignment horizontal="left" vertical="center"/>
    </xf>
    <xf numFmtId="14" fontId="125" fillId="0" borderId="7" xfId="62" applyNumberFormat="1" applyFont="1" applyBorder="1" applyAlignment="1">
      <alignment horizontal="left" vertical="center"/>
    </xf>
    <xf numFmtId="14" fontId="125" fillId="0" borderId="13" xfId="62" applyNumberFormat="1" applyFont="1" applyBorder="1" applyAlignment="1">
      <alignment horizontal="left" vertical="center"/>
    </xf>
    <xf numFmtId="14" fontId="122" fillId="0" borderId="0" xfId="62" applyNumberFormat="1" applyFont="1" applyAlignment="1">
      <alignment horizontal="left" vertical="center"/>
    </xf>
    <xf numFmtId="14" fontId="122" fillId="0" borderId="175" xfId="62" applyNumberFormat="1" applyFont="1" applyBorder="1" applyAlignment="1">
      <alignment horizontal="left" vertical="center"/>
    </xf>
    <xf numFmtId="0" fontId="122" fillId="0" borderId="0" xfId="62" applyFont="1" applyBorder="1" applyAlignment="1">
      <alignment horizontal="left" vertical="center"/>
    </xf>
    <xf numFmtId="0" fontId="131" fillId="0" borderId="0" xfId="62"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1"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8"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79"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90"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2" applyFont="1">
      <alignment vertical="center"/>
    </xf>
    <xf numFmtId="0" fontId="0" fillId="0" borderId="0" xfId="62">
      <alignment vertical="center"/>
    </xf>
    <xf numFmtId="0" fontId="149" fillId="0" borderId="0" xfId="62" applyFont="1" applyAlignment="1" applyProtection="1">
      <alignment horizontal="left" vertical="top" wrapText="1"/>
    </xf>
    <xf numFmtId="0" fontId="148" fillId="0" borderId="0" xfId="62" applyFont="1" applyAlignment="1">
      <alignment vertical="top" wrapText="1"/>
    </xf>
    <xf numFmtId="0" fontId="149" fillId="0" borderId="0" xfId="62"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xdr:colOff>
      <xdr:row>0</xdr:row>
      <xdr:rowOff>170815</xdr:rowOff>
    </xdr:from>
    <xdr:to>
      <xdr:col>13</xdr:col>
      <xdr:colOff>503555</xdr:colOff>
      <xdr:row>37</xdr:row>
      <xdr:rowOff>143510</xdr:rowOff>
    </xdr:to>
    <xdr:pic>
      <xdr:nvPicPr>
        <xdr:cNvPr id="3" name="图片 2"/>
        <xdr:cNvPicPr>
          <a:picLocks noChangeAspect="1"/>
        </xdr:cNvPicPr>
      </xdr:nvPicPr>
      <xdr:blipFill>
        <a:blip r:embed="rId1"/>
        <a:stretch>
          <a:fillRect/>
        </a:stretch>
      </xdr:blipFill>
      <xdr:spPr>
        <a:xfrm>
          <a:off x="706755" y="170815"/>
          <a:ext cx="9444355" cy="6316345"/>
        </a:xfrm>
        <a:prstGeom prst="rect">
          <a:avLst/>
        </a:prstGeom>
        <a:noFill/>
        <a:ln w="9525">
          <a:noFill/>
        </a:ln>
      </xdr:spPr>
    </xdr:pic>
    <xdr:clientData/>
  </xdr:twoCellAnchor>
  <xdr:twoCellAnchor editAs="oneCell">
    <xdr:from>
      <xdr:col>1</xdr:col>
      <xdr:colOff>22860</xdr:colOff>
      <xdr:row>38</xdr:row>
      <xdr:rowOff>161925</xdr:rowOff>
    </xdr:from>
    <xdr:to>
      <xdr:col>13</xdr:col>
      <xdr:colOff>495935</xdr:colOff>
      <xdr:row>68</xdr:row>
      <xdr:rowOff>115570</xdr:rowOff>
    </xdr:to>
    <xdr:pic>
      <xdr:nvPicPr>
        <xdr:cNvPr id="10" name="图片 9"/>
        <xdr:cNvPicPr>
          <a:picLocks noChangeAspect="1"/>
        </xdr:cNvPicPr>
      </xdr:nvPicPr>
      <xdr:blipFill>
        <a:blip r:embed="rId2"/>
        <a:stretch>
          <a:fillRect/>
        </a:stretch>
      </xdr:blipFill>
      <xdr:spPr>
        <a:xfrm>
          <a:off x="708660" y="6677025"/>
          <a:ext cx="9434830" cy="5097145"/>
        </a:xfrm>
        <a:prstGeom prst="rect">
          <a:avLst/>
        </a:prstGeom>
        <a:noFill/>
        <a:ln w="9525">
          <a:noFill/>
        </a:ln>
      </xdr:spPr>
    </xdr:pic>
    <xdr:clientData/>
  </xdr:twoCellAnchor>
  <xdr:twoCellAnchor editAs="oneCell">
    <xdr:from>
      <xdr:col>1</xdr:col>
      <xdr:colOff>10160</xdr:colOff>
      <xdr:row>69</xdr:row>
      <xdr:rowOff>56515</xdr:rowOff>
    </xdr:from>
    <xdr:to>
      <xdr:col>13</xdr:col>
      <xdr:colOff>496570</xdr:colOff>
      <xdr:row>99</xdr:row>
      <xdr:rowOff>13970</xdr:rowOff>
    </xdr:to>
    <xdr:pic>
      <xdr:nvPicPr>
        <xdr:cNvPr id="11" name="图片 10"/>
        <xdr:cNvPicPr>
          <a:picLocks noChangeAspect="1"/>
        </xdr:cNvPicPr>
      </xdr:nvPicPr>
      <xdr:blipFill>
        <a:blip r:embed="rId3"/>
        <a:stretch>
          <a:fillRect/>
        </a:stretch>
      </xdr:blipFill>
      <xdr:spPr>
        <a:xfrm>
          <a:off x="695960" y="11886565"/>
          <a:ext cx="9448165" cy="5100955"/>
        </a:xfrm>
        <a:prstGeom prst="rect">
          <a:avLst/>
        </a:prstGeom>
        <a:noFill/>
        <a:ln w="9525">
          <a:noFill/>
        </a:ln>
      </xdr:spPr>
    </xdr:pic>
    <xdr:clientData/>
  </xdr:twoCellAnchor>
  <xdr:twoCellAnchor editAs="oneCell">
    <xdr:from>
      <xdr:col>1</xdr:col>
      <xdr:colOff>15875</xdr:colOff>
      <xdr:row>99</xdr:row>
      <xdr:rowOff>161925</xdr:rowOff>
    </xdr:from>
    <xdr:to>
      <xdr:col>13</xdr:col>
      <xdr:colOff>500380</xdr:colOff>
      <xdr:row>137</xdr:row>
      <xdr:rowOff>123825</xdr:rowOff>
    </xdr:to>
    <xdr:pic>
      <xdr:nvPicPr>
        <xdr:cNvPr id="12" name="图片 11"/>
        <xdr:cNvPicPr>
          <a:picLocks noChangeAspect="1"/>
        </xdr:cNvPicPr>
      </xdr:nvPicPr>
      <xdr:blipFill>
        <a:blip r:embed="rId4"/>
        <a:stretch>
          <a:fillRect/>
        </a:stretch>
      </xdr:blipFill>
      <xdr:spPr>
        <a:xfrm>
          <a:off x="701675" y="17135475"/>
          <a:ext cx="9446260" cy="6477000"/>
        </a:xfrm>
        <a:prstGeom prst="rect">
          <a:avLst/>
        </a:prstGeom>
        <a:noFill/>
        <a:ln w="9525">
          <a:noFill/>
        </a:ln>
      </xdr:spPr>
    </xdr:pic>
    <xdr:clientData/>
  </xdr:twoCellAnchor>
  <xdr:twoCellAnchor editAs="oneCell">
    <xdr:from>
      <xdr:col>17</xdr:col>
      <xdr:colOff>657225</xdr:colOff>
      <xdr:row>33</xdr:row>
      <xdr:rowOff>76200</xdr:rowOff>
    </xdr:from>
    <xdr:to>
      <xdr:col>27</xdr:col>
      <xdr:colOff>28575</xdr:colOff>
      <xdr:row>48</xdr:row>
      <xdr:rowOff>114300</xdr:rowOff>
    </xdr:to>
    <xdr:pic>
      <xdr:nvPicPr>
        <xdr:cNvPr id="2" name="图片 1"/>
        <xdr:cNvPicPr>
          <a:picLocks noChangeAspect="1"/>
        </xdr:cNvPicPr>
      </xdr:nvPicPr>
      <xdr:blipFill>
        <a:blip r:embed="rId5"/>
        <a:stretch>
          <a:fillRect/>
        </a:stretch>
      </xdr:blipFill>
      <xdr:spPr>
        <a:xfrm>
          <a:off x="13047980" y="5734050"/>
          <a:ext cx="6229350" cy="2609850"/>
        </a:xfrm>
        <a:prstGeom prst="rect">
          <a:avLst/>
        </a:prstGeom>
        <a:noFill/>
        <a:ln w="9525">
          <a:noFill/>
        </a:ln>
      </xdr:spPr>
    </xdr:pic>
    <xdr:clientData/>
  </xdr:twoCellAnchor>
  <xdr:twoCellAnchor editAs="oneCell">
    <xdr:from>
      <xdr:col>18</xdr:col>
      <xdr:colOff>0</xdr:colOff>
      <xdr:row>1</xdr:row>
      <xdr:rowOff>0</xdr:rowOff>
    </xdr:from>
    <xdr:to>
      <xdr:col>26</xdr:col>
      <xdr:colOff>552450</xdr:colOff>
      <xdr:row>15</xdr:row>
      <xdr:rowOff>28575</xdr:rowOff>
    </xdr:to>
    <xdr:pic>
      <xdr:nvPicPr>
        <xdr:cNvPr id="4" name="图片 3"/>
        <xdr:cNvPicPr>
          <a:picLocks noChangeAspect="1"/>
        </xdr:cNvPicPr>
      </xdr:nvPicPr>
      <xdr:blipFill>
        <a:blip r:embed="rId6"/>
        <a:stretch>
          <a:fillRect/>
        </a:stretch>
      </xdr:blipFill>
      <xdr:spPr>
        <a:xfrm>
          <a:off x="13076555" y="171450"/>
          <a:ext cx="6038850" cy="2428875"/>
        </a:xfrm>
        <a:prstGeom prst="rect">
          <a:avLst/>
        </a:prstGeom>
        <a:noFill/>
        <a:ln w="9525">
          <a:noFill/>
        </a:ln>
      </xdr:spPr>
    </xdr:pic>
    <xdr:clientData/>
  </xdr:twoCellAnchor>
  <xdr:twoCellAnchor editAs="oneCell">
    <xdr:from>
      <xdr:col>18</xdr:col>
      <xdr:colOff>0</xdr:colOff>
      <xdr:row>17</xdr:row>
      <xdr:rowOff>66675</xdr:rowOff>
    </xdr:from>
    <xdr:to>
      <xdr:col>26</xdr:col>
      <xdr:colOff>561975</xdr:colOff>
      <xdr:row>31</xdr:row>
      <xdr:rowOff>123825</xdr:rowOff>
    </xdr:to>
    <xdr:pic>
      <xdr:nvPicPr>
        <xdr:cNvPr id="5" name="图片 4"/>
        <xdr:cNvPicPr>
          <a:picLocks noChangeAspect="1"/>
        </xdr:cNvPicPr>
      </xdr:nvPicPr>
      <xdr:blipFill>
        <a:blip r:embed="rId7"/>
        <a:stretch>
          <a:fillRect/>
        </a:stretch>
      </xdr:blipFill>
      <xdr:spPr>
        <a:xfrm>
          <a:off x="13076555" y="2981325"/>
          <a:ext cx="6048375" cy="2457450"/>
        </a:xfrm>
        <a:prstGeom prst="rect">
          <a:avLst/>
        </a:prstGeom>
        <a:noFill/>
        <a:ln w="9525">
          <a:noFill/>
        </a:ln>
      </xdr:spPr>
    </xdr:pic>
    <xdr:clientData/>
  </xdr:twoCellAnchor>
  <xdr:twoCellAnchor editAs="oneCell">
    <xdr:from>
      <xdr:col>16</xdr:col>
      <xdr:colOff>114300</xdr:colOff>
      <xdr:row>52</xdr:row>
      <xdr:rowOff>133350</xdr:rowOff>
    </xdr:from>
    <xdr:to>
      <xdr:col>31</xdr:col>
      <xdr:colOff>200025</xdr:colOff>
      <xdr:row>64</xdr:row>
      <xdr:rowOff>38100</xdr:rowOff>
    </xdr:to>
    <xdr:pic>
      <xdr:nvPicPr>
        <xdr:cNvPr id="6" name="图片 5"/>
        <xdr:cNvPicPr>
          <a:picLocks noChangeAspect="1"/>
        </xdr:cNvPicPr>
      </xdr:nvPicPr>
      <xdr:blipFill>
        <a:blip r:embed="rId8"/>
        <a:stretch>
          <a:fillRect/>
        </a:stretch>
      </xdr:blipFill>
      <xdr:spPr>
        <a:xfrm>
          <a:off x="11819255" y="9048750"/>
          <a:ext cx="10372725" cy="1962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3\4&#26376;\&#22799;&#23478;&#22253;\&#36807;&#31243;\&#19968;&#23457;\&#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8" customWidth="1"/>
    <col min="2" max="2" width="81" style="3709" customWidth="1"/>
    <col min="3" max="16384" width="9" style="3710"/>
  </cols>
  <sheetData>
    <row r="1" s="3705" customFormat="1" ht="16.5" spans="1:2">
      <c r="A1" s="3711" t="s">
        <v>0</v>
      </c>
      <c r="B1" s="3712" t="s">
        <v>1</v>
      </c>
    </row>
    <row r="2" s="3706" customFormat="1" ht="15" spans="1:2">
      <c r="A2" s="3713" t="s">
        <v>2</v>
      </c>
      <c r="B2" s="3714" t="str">
        <f>'预评函-封皮'!B37:I37</f>
        <v>北京市房地产市场价值预评估</v>
      </c>
    </row>
    <row r="3" s="3707" customFormat="1" spans="1:2">
      <c r="A3" s="3715" t="s">
        <v>3</v>
      </c>
      <c r="B3" s="3716">
        <f>'预评函-封皮'!B40</f>
        <v>0</v>
      </c>
    </row>
    <row r="4" s="3707" customFormat="1" spans="1:2">
      <c r="A4" s="3715" t="s">
        <v>4</v>
      </c>
      <c r="B4" s="3716" t="str">
        <f ca="1">'预评函-封皮'!B46</f>
        <v>（注册号：0)、（注册号：0)</v>
      </c>
    </row>
    <row r="5" s="3705" customFormat="1" ht="15" spans="1:2">
      <c r="A5" s="3717" t="s">
        <v>5</v>
      </c>
      <c r="B5" s="3718" t="str">
        <f>'预评函-封皮'!B49</f>
        <v>康正预评字号</v>
      </c>
    </row>
    <row r="6" s="3706" customFormat="1" ht="15" spans="1:2">
      <c r="A6" s="3713" t="s">
        <v>6</v>
      </c>
      <c r="B6" s="3714" t="str">
        <f>'预评函-1'!A4</f>
        <v>受贵公司委托，我公司对北京市房地产市场价值进行了预评估。</v>
      </c>
    </row>
    <row r="7" s="3707" customFormat="1" spans="1:2">
      <c r="A7" s="3715" t="s">
        <v>7</v>
      </c>
      <c r="B7" s="3716" t="str">
        <f>'预评函-1'!A7</f>
        <v>估价对象为北京市房地产，为所有。根据《国有土地使用证》[]，估价对象（分摊）出让国有建设用地使用权面积为0平方米，建筑面积为211.57平方米。</v>
      </c>
    </row>
    <row r="8" s="3707" customFormat="1" spans="1:2">
      <c r="A8" s="3715" t="s">
        <v>8</v>
      </c>
      <c r="B8" s="3716" t="str">
        <f>'预评函-1'!A8</f>
        <v>估价对象简述。项目推广名，项目类型（用途），估价对象分布，各用途面积明细情况：XX用途建筑面积XX平方米，XX用途建筑面积XX平方米，……。复杂面积清单需设‘附表’列示：抵押物清单详见附表</v>
      </c>
    </row>
    <row r="9" s="3707" customFormat="1" spans="1:2">
      <c r="A9" s="3715" t="s">
        <v>9</v>
      </c>
      <c r="B9" s="3716" t="str">
        <f>'预评函-1'!A10</f>
        <v>估价对象为北京市房地产,属开发建设的，该项目尚在开发建设中。根据《国有土地使用证》[]，估价对象（分摊）出让国有建设用地使用权面积为0平方米，规划建筑面积为211.57平方米。</v>
      </c>
    </row>
    <row r="10" s="3707" customFormat="1" spans="1:2">
      <c r="A10" s="3715" t="s">
        <v>10</v>
      </c>
      <c r="B10" s="37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7" customFormat="1" spans="1:2">
      <c r="A11" s="3715" t="s">
        <v>11</v>
      </c>
      <c r="B11" s="3716" t="str">
        <f>'预评函-1'!A13</f>
        <v>为估价委托人了解估价对象房地产市场价值提供参考依据。</v>
      </c>
    </row>
    <row r="12" s="3707" customFormat="1" spans="1:2">
      <c r="A12" s="3715" t="s">
        <v>12</v>
      </c>
      <c r="B12" s="3716" t="str">
        <f>'预评函-1'!A15</f>
        <v>2023年5月23日（评估专业人员实地查勘之日）</v>
      </c>
    </row>
    <row r="13" s="3707" customFormat="1" spans="1:2">
      <c r="A13" s="3715" t="s">
        <v>13</v>
      </c>
      <c r="B13" s="3716" t="str">
        <f>'预评函-1'!A18</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4" s="3707" customFormat="1" spans="1:2">
      <c r="A14" s="3715" t="s">
        <v>14</v>
      </c>
      <c r="B14" s="37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7" customFormat="1" spans="1:2">
      <c r="A15" s="3715" t="s">
        <v>15</v>
      </c>
      <c r="B15" s="3716" t="str">
        <f>'预评函-1'!A20</f>
        <v>——</v>
      </c>
    </row>
    <row r="16" s="3707" customFormat="1" spans="1:2">
      <c r="A16" s="3715" t="s">
        <v>16</v>
      </c>
      <c r="B16" s="3716" t="str">
        <f>'预评函-1'!A21</f>
        <v>——</v>
      </c>
    </row>
    <row r="17" s="3707" customFormat="1" spans="1:2">
      <c r="A17" s="3715" t="s">
        <v>17</v>
      </c>
      <c r="B17" s="3716" t="str">
        <f>'预评函-1'!A22</f>
        <v>——</v>
      </c>
    </row>
    <row r="18" s="3705" customFormat="1" ht="15" spans="1:2">
      <c r="A18" s="3717" t="s">
        <v>18</v>
      </c>
      <c r="B18" s="3718" t="str">
        <f>'预评函-1'!A24</f>
        <v>本次评估采用的主估价方法为收益法和比较法。</v>
      </c>
    </row>
    <row r="19" s="3706" customFormat="1" ht="15" spans="1:2">
      <c r="A19" s="3713" t="s">
        <v>19</v>
      </c>
      <c r="B19" s="3714"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07" customFormat="1" spans="1:2">
      <c r="A20" s="3715" t="s">
        <v>20</v>
      </c>
      <c r="B20" s="3716" t="e">
        <f ca="1">'预评函-2'!D5</f>
        <v>#REF!</v>
      </c>
    </row>
    <row r="21" s="3707" customFormat="1" spans="1:2">
      <c r="A21" s="3715" t="s">
        <v>21</v>
      </c>
      <c r="B21" s="3716" t="e">
        <f ca="1">'预评函-2'!D7</f>
        <v>#REF!</v>
      </c>
    </row>
    <row r="22" s="3707" customFormat="1" spans="1:2">
      <c r="A22" s="3715" t="s">
        <v>22</v>
      </c>
      <c r="B22" s="3716" t="e">
        <f ca="1">'预评函-2'!D6</f>
        <v>#REF!</v>
      </c>
    </row>
    <row r="23" s="3707" customFormat="1" spans="1:2">
      <c r="A23" s="3715" t="s">
        <v>23</v>
      </c>
      <c r="B23" s="3716" t="str">
        <f>'预评函-2'!B8</f>
        <v>2.估价师知悉的法定优先受偿款</v>
      </c>
    </row>
    <row r="24" s="3707" customFormat="1" spans="1:2">
      <c r="A24" s="3715" t="s">
        <v>24</v>
      </c>
      <c r="B24" s="3716">
        <f>'预评函-2'!D8</f>
        <v>0</v>
      </c>
    </row>
    <row r="25" s="3707" customFormat="1" spans="1:2">
      <c r="A25" s="3715" t="s">
        <v>25</v>
      </c>
      <c r="B25" s="3716" t="str">
        <f>'预评函-2'!D9</f>
        <v>零元整</v>
      </c>
    </row>
    <row r="26" s="3707" customFormat="1" spans="1:2">
      <c r="A26" s="3715" t="s">
        <v>26</v>
      </c>
      <c r="B26" s="3716">
        <f>'预评函-2'!D10</f>
        <v>0</v>
      </c>
    </row>
    <row r="27" s="3707" customFormat="1" spans="1:2">
      <c r="A27" s="3715" t="s">
        <v>27</v>
      </c>
      <c r="B27" s="3716">
        <f>'预评函-2'!D11</f>
        <v>0</v>
      </c>
    </row>
    <row r="28" s="3707" customFormat="1" spans="1:2">
      <c r="A28" s="3715" t="s">
        <v>28</v>
      </c>
      <c r="B28" s="3716">
        <f>'预评函-2'!D12</f>
        <v>0</v>
      </c>
    </row>
    <row r="29" s="3707" customFormat="1" spans="1:2">
      <c r="A29" s="3715" t="s">
        <v>29</v>
      </c>
      <c r="B29" s="3716" t="str">
        <f>'预评函-2'!B13</f>
        <v>——</v>
      </c>
    </row>
    <row r="30" s="3707" customFormat="1" spans="1:2">
      <c r="A30" s="3715" t="s">
        <v>30</v>
      </c>
      <c r="B30" s="3716" t="str">
        <f ca="1">'预评函-2'!D13</f>
        <v>——</v>
      </c>
    </row>
    <row r="31" s="3707" customFormat="1" spans="1:2">
      <c r="A31" s="3715" t="s">
        <v>31</v>
      </c>
      <c r="B31" s="3716" t="e">
        <f ca="1">'预评函-2'!D15</f>
        <v>#REF!</v>
      </c>
    </row>
    <row r="32" s="3707" customFormat="1" spans="1:2">
      <c r="A32" s="3715" t="s">
        <v>32</v>
      </c>
      <c r="B32" s="3716" t="e">
        <f ca="1">'预评函-2'!D14</f>
        <v>#VALUE!</v>
      </c>
    </row>
    <row r="33" s="3707" customFormat="1" spans="1:2">
      <c r="A33" s="3715" t="s">
        <v>33</v>
      </c>
      <c r="B33" s="3716" t="str">
        <f>'预评函-2'!B16</f>
        <v>3.抵押担保权已注销时的房地产抵押价值</v>
      </c>
    </row>
    <row r="34" s="3707" customFormat="1" spans="1:2">
      <c r="A34" s="3715" t="s">
        <v>34</v>
      </c>
      <c r="B34" s="3716" t="str">
        <f ca="1">'预评函-2'!D16</f>
        <v>——</v>
      </c>
    </row>
    <row r="35" s="3707" customFormat="1" spans="1:2">
      <c r="A35" s="3715" t="s">
        <v>35</v>
      </c>
      <c r="B35" s="3716" t="str">
        <f ca="1">'预评函-2'!D18</f>
        <v>——</v>
      </c>
    </row>
    <row r="36" s="3707" customFormat="1" spans="1:2">
      <c r="A36" s="3715" t="s">
        <v>36</v>
      </c>
      <c r="B36" s="3716" t="e">
        <f ca="1">'预评函-2'!D17</f>
        <v>#VALUE!</v>
      </c>
    </row>
    <row r="37" s="3707" customFormat="1" spans="1:2">
      <c r="A37" s="3715" t="s">
        <v>37</v>
      </c>
      <c r="B37" s="3716" t="str">
        <f>'预评函-2'!B19</f>
        <v>——</v>
      </c>
    </row>
    <row r="38" s="3707" customFormat="1" spans="1:2">
      <c r="A38" s="3715" t="s">
        <v>38</v>
      </c>
      <c r="B38" s="3716" t="str">
        <f ca="1">'预评函-2'!D19</f>
        <v>——</v>
      </c>
    </row>
    <row r="39" s="3707" customFormat="1" spans="1:2">
      <c r="A39" s="3715" t="s">
        <v>39</v>
      </c>
      <c r="B39" s="3716" t="str">
        <f ca="1">'预评函-2'!D21</f>
        <v>——</v>
      </c>
    </row>
    <row r="40" s="3707" customFormat="1" spans="1:2">
      <c r="A40" s="3715" t="s">
        <v>40</v>
      </c>
      <c r="B40" s="3716" t="e">
        <f ca="1">'预评函-2'!D20</f>
        <v>#VALUE!</v>
      </c>
    </row>
    <row r="41" s="3707" customFormat="1" spans="1:2">
      <c r="A41" s="3715" t="s">
        <v>41</v>
      </c>
      <c r="B41" s="3716" t="str">
        <f>'预评函-3'!A4</f>
        <v>北京市房地产</v>
      </c>
    </row>
    <row r="42" s="3707" customFormat="1" spans="1:2">
      <c r="A42" s="3715" t="s">
        <v>42</v>
      </c>
      <c r="B42" s="3716" t="str">
        <f>'预评函-3'!B2</f>
        <v>建筑面积</v>
      </c>
    </row>
    <row r="43" s="3707" customFormat="1" spans="1:2">
      <c r="A43" s="3715" t="s">
        <v>43</v>
      </c>
      <c r="B43" s="3716">
        <f>'预评函-3'!B4</f>
        <v>211.57</v>
      </c>
    </row>
    <row r="44" s="3707" customFormat="1" spans="1:2">
      <c r="A44" s="3715" t="s">
        <v>44</v>
      </c>
      <c r="B44" s="3716" t="str">
        <f>'预评函-3'!C2</f>
        <v>(分摊)土地面积</v>
      </c>
    </row>
    <row r="45" s="3707" customFormat="1" spans="1:2">
      <c r="A45" s="3715" t="s">
        <v>45</v>
      </c>
      <c r="B45" s="3716">
        <f>'预评函-3'!C4</f>
        <v>0</v>
      </c>
    </row>
    <row r="46" s="3707" customFormat="1" spans="1:2">
      <c r="A46" s="3715" t="s">
        <v>46</v>
      </c>
      <c r="B46" s="3716" t="str">
        <f>'预评函-3'!D2</f>
        <v>出让国有建设用地使用权价值</v>
      </c>
    </row>
    <row r="47" s="3707" customFormat="1" spans="1:2">
      <c r="A47" s="3715" t="s">
        <v>47</v>
      </c>
      <c r="B47" s="3716" t="e">
        <f ca="1">'预评函-3'!D4</f>
        <v>#REF!</v>
      </c>
    </row>
    <row r="48" s="3707" customFormat="1" spans="1:2">
      <c r="A48" s="3715" t="s">
        <v>48</v>
      </c>
      <c r="B48" s="3716" t="e">
        <f ca="1">'预评函-3'!E4</f>
        <v>#REF!</v>
      </c>
    </row>
    <row r="49" s="3707" customFormat="1" spans="1:2">
      <c r="A49" s="3715" t="s">
        <v>49</v>
      </c>
      <c r="B49" s="3716" t="e">
        <f ca="1">'预评函-3'!D5</f>
        <v>#REF!</v>
      </c>
    </row>
    <row r="50" s="3707" customFormat="1" spans="1:2">
      <c r="A50" s="3715" t="s">
        <v>50</v>
      </c>
      <c r="B50" s="3716" t="str">
        <f>'预评函-3'!F2</f>
        <v>在建建筑物价值</v>
      </c>
    </row>
    <row r="51" s="3707" customFormat="1" spans="1:2">
      <c r="A51" s="3715" t="s">
        <v>51</v>
      </c>
      <c r="B51" s="3716" t="e">
        <f ca="1">'预评函-3'!F4</f>
        <v>#REF!</v>
      </c>
    </row>
    <row r="52" s="3707" customFormat="1" spans="1:2">
      <c r="A52" s="3715" t="s">
        <v>52</v>
      </c>
      <c r="B52" s="3716" t="e">
        <f ca="1">'预评函-3'!G4</f>
        <v>#REF!</v>
      </c>
    </row>
    <row r="53" s="3707" customFormat="1" spans="1:2">
      <c r="A53" s="3715" t="s">
        <v>53</v>
      </c>
      <c r="B53" s="3716" t="e">
        <f ca="1">'预评函-3'!F5</f>
        <v>#REF!</v>
      </c>
    </row>
    <row r="54" s="3707" customFormat="1" spans="1:2">
      <c r="A54" s="3715" t="s">
        <v>54</v>
      </c>
      <c r="B54" s="3716" t="str">
        <f>'预评函-3'!A8</f>
        <v/>
      </c>
    </row>
    <row r="55" s="3707" customFormat="1" spans="1:2">
      <c r="A55" s="3715" t="s">
        <v>55</v>
      </c>
      <c r="B55" s="3716" t="str">
        <f>'预评函-3'!A10</f>
        <v/>
      </c>
    </row>
    <row r="56" s="3707" customFormat="1" spans="1:2">
      <c r="A56" s="3715" t="s">
        <v>56</v>
      </c>
      <c r="B56" s="3716" t="str">
        <f>'预评函-3'!A12</f>
        <v/>
      </c>
    </row>
    <row r="57" s="3705" customFormat="1" ht="15" spans="1:2">
      <c r="A57" s="3717" t="s">
        <v>57</v>
      </c>
      <c r="B57" s="3718" t="str">
        <f>'预评函-3'!A6</f>
        <v/>
      </c>
    </row>
    <row r="58" s="3706" customFormat="1" ht="15" spans="1:2">
      <c r="A58" s="3713" t="s">
        <v>58</v>
      </c>
      <c r="B58" s="3714" t="str">
        <f>'预评函-4'!A12</f>
        <v>2.本次评估设定估价对象房地产权属无争议，未被查封或者以其他形式限制其房地产权利，未设定抵押权等他项权利，不涉及第三方权利义务。</v>
      </c>
    </row>
    <row r="59" s="3707" customFormat="1" spans="1:2">
      <c r="A59" s="3715" t="s">
        <v>59</v>
      </c>
      <c r="B59" s="3716" t="str">
        <f>'预评函-4'!A13</f>
        <v>——</v>
      </c>
    </row>
    <row r="60" s="3707" customFormat="1" spans="1:2">
      <c r="A60" s="3715" t="s">
        <v>60</v>
      </c>
      <c r="B60" s="3716" t="str">
        <f>'预评函-4'!A14</f>
        <v>——</v>
      </c>
    </row>
    <row r="61" s="3707" customFormat="1" spans="1:2">
      <c r="A61" s="3715" t="s">
        <v>61</v>
      </c>
      <c r="B61" s="3716" t="str">
        <f>'预评函-4'!A15</f>
        <v>——</v>
      </c>
    </row>
    <row r="62" s="3707" customFormat="1" spans="1:2">
      <c r="A62" s="3715" t="s">
        <v>62</v>
      </c>
      <c r="B62" s="3716" t="str">
        <f>'预评函-4'!A16</f>
        <v>（2）根据《工程款支付情况说明》，截至价值时点，估价对象不存在应付未付工程款项。（只要没有施工方盖章的，均“设定”进行表述）</v>
      </c>
    </row>
    <row r="63" s="3707" customFormat="1" spans="1:2">
      <c r="A63" s="3715" t="s">
        <v>63</v>
      </c>
      <c r="B63" s="37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7" customFormat="1" spans="1:2">
      <c r="A64" s="3715" t="s">
        <v>64</v>
      </c>
      <c r="B64" s="3716" t="str">
        <f>'预评函-4'!A18</f>
        <v>——</v>
      </c>
    </row>
    <row r="65" s="3707" customFormat="1" spans="1:2">
      <c r="A65" s="3715" t="s">
        <v>65</v>
      </c>
      <c r="B65" s="371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07" customFormat="1" spans="1:2">
      <c r="A66" s="3715" t="s">
        <v>66</v>
      </c>
      <c r="B66" s="3716"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7" customFormat="1" spans="1:2">
      <c r="A67" s="3715" t="s">
        <v>67</v>
      </c>
      <c r="B67" s="3716"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7" customFormat="1" spans="1:2">
      <c r="A68" s="3715" t="s">
        <v>68</v>
      </c>
      <c r="B68" s="3716" t="str">
        <f>'预评函-4'!A22</f>
        <v>8.其他需特殊说明事项：无（注意调整序号）</v>
      </c>
    </row>
    <row r="69" s="3705" customFormat="1" ht="15" spans="1:2">
      <c r="A69" s="3717" t="s">
        <v>69</v>
      </c>
      <c r="B69" s="3719">
        <f>'预评函-4'!C31</f>
        <v>42551</v>
      </c>
    </row>
    <row r="70" ht="15" spans="1:2">
      <c r="A70" s="3720" t="s">
        <v>70</v>
      </c>
      <c r="B70" s="3721">
        <f>'预评函-4'!A4</f>
        <v>0</v>
      </c>
    </row>
    <row r="71" spans="1:2">
      <c r="A71" s="3715" t="s">
        <v>71</v>
      </c>
      <c r="B71" s="3716">
        <f ca="1">'预评函-4'!B4</f>
        <v>0</v>
      </c>
    </row>
    <row r="72" spans="1:2">
      <c r="A72" s="3715" t="s">
        <v>72</v>
      </c>
      <c r="B72" s="3722">
        <f>'预评函-4'!A5</f>
        <v>0</v>
      </c>
    </row>
    <row r="73" s="3705" customFormat="1" ht="15" spans="1:2">
      <c r="A73" s="3717" t="s">
        <v>73</v>
      </c>
      <c r="B73" s="3718">
        <f ca="1">'预评函-4'!B5</f>
        <v>0</v>
      </c>
    </row>
    <row r="74" ht="15" spans="1:2">
      <c r="A74" s="3708" t="s">
        <v>74</v>
      </c>
      <c r="B74" s="370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5" style="3548" customWidth="1"/>
    <col min="2" max="2" width="23.25" style="3549" customWidth="1"/>
    <col min="3" max="3" width="13" style="3550" customWidth="1"/>
    <col min="4" max="4" width="5.75" style="3551" customWidth="1"/>
    <col min="5" max="5" width="7.125" style="3551" customWidth="1"/>
    <col min="6" max="6" width="10.625" style="3551" customWidth="1"/>
    <col min="7" max="7" width="7.5" style="3551" customWidth="1"/>
    <col min="8" max="8" width="11.875" style="3550" customWidth="1"/>
    <col min="9" max="9" width="11.625" style="3550" customWidth="1"/>
    <col min="10" max="10" width="9" style="3550" customWidth="1"/>
    <col min="11" max="19" width="9" style="3551" customWidth="1"/>
    <col min="20" max="23" width="9" style="3550" customWidth="1"/>
    <col min="24" max="24" width="21.125" style="3549" customWidth="1"/>
    <col min="25" max="16384" width="9" style="3549"/>
  </cols>
  <sheetData>
    <row r="1" s="3547" customFormat="1" ht="40.5" spans="1:23">
      <c r="A1" s="3552" t="s">
        <v>206</v>
      </c>
      <c r="B1" s="3553" t="s">
        <v>207</v>
      </c>
      <c r="C1" s="3554" t="s">
        <v>208</v>
      </c>
      <c r="D1" s="3555" t="s">
        <v>209</v>
      </c>
      <c r="E1" s="3556" t="s">
        <v>210</v>
      </c>
      <c r="F1" s="3556" t="s">
        <v>211</v>
      </c>
      <c r="G1" s="3556" t="s">
        <v>212</v>
      </c>
      <c r="H1" s="3556" t="s">
        <v>213</v>
      </c>
      <c r="I1" s="3556" t="s">
        <v>214</v>
      </c>
      <c r="J1" s="3556" t="s">
        <v>215</v>
      </c>
      <c r="K1" s="3556" t="s">
        <v>216</v>
      </c>
      <c r="L1" s="3556" t="s">
        <v>217</v>
      </c>
      <c r="M1" s="3556" t="s">
        <v>218</v>
      </c>
      <c r="N1" s="3556" t="s">
        <v>219</v>
      </c>
      <c r="O1" s="3556" t="s">
        <v>220</v>
      </c>
      <c r="P1" s="3555" t="s">
        <v>221</v>
      </c>
      <c r="Q1" s="3555" t="s">
        <v>222</v>
      </c>
      <c r="R1" s="3556" t="s">
        <v>223</v>
      </c>
      <c r="S1" s="3556" t="s">
        <v>224</v>
      </c>
      <c r="T1" s="3565" t="s">
        <v>225</v>
      </c>
      <c r="U1" s="3556" t="s">
        <v>226</v>
      </c>
      <c r="V1" s="3556" t="s">
        <v>227</v>
      </c>
      <c r="W1" s="3556" t="s">
        <v>228</v>
      </c>
    </row>
    <row r="2" spans="1:23">
      <c r="A2" s="3557" t="s">
        <v>124</v>
      </c>
      <c r="B2" s="3557" t="s">
        <v>229</v>
      </c>
      <c r="C2" s="3558" t="s">
        <v>230</v>
      </c>
      <c r="D2" s="3551" t="s">
        <v>231</v>
      </c>
      <c r="E2" s="3551" t="s">
        <v>232</v>
      </c>
      <c r="F2" s="3551" t="s">
        <v>159</v>
      </c>
      <c r="G2" s="3551">
        <v>20</v>
      </c>
      <c r="H2" s="3551" t="s">
        <v>159</v>
      </c>
      <c r="I2" s="3551" t="s">
        <v>233</v>
      </c>
      <c r="J2" s="3551" t="s">
        <v>234</v>
      </c>
      <c r="K2" s="3551" t="s">
        <v>235</v>
      </c>
      <c r="L2" s="3551" t="s">
        <v>235</v>
      </c>
      <c r="M2" s="3551" t="s">
        <v>235</v>
      </c>
      <c r="N2" s="3551" t="s">
        <v>235</v>
      </c>
      <c r="O2" s="3551" t="s">
        <v>235</v>
      </c>
      <c r="P2" s="3551" t="s">
        <v>235</v>
      </c>
      <c r="Q2" s="3551" t="s">
        <v>235</v>
      </c>
      <c r="R2" s="3551" t="s">
        <v>236</v>
      </c>
      <c r="S2" s="3551" t="s">
        <v>235</v>
      </c>
      <c r="T2" s="3551" t="s">
        <v>237</v>
      </c>
      <c r="U2" s="3551" t="s">
        <v>235</v>
      </c>
      <c r="V2" s="3551" t="s">
        <v>238</v>
      </c>
      <c r="W2" s="3551" t="s">
        <v>235</v>
      </c>
    </row>
    <row r="3" spans="1:23">
      <c r="A3" s="3557" t="s">
        <v>239</v>
      </c>
      <c r="B3" s="3559" t="s">
        <v>240</v>
      </c>
      <c r="C3" s="3560" t="s">
        <v>241</v>
      </c>
      <c r="D3" s="3551" t="s">
        <v>242</v>
      </c>
      <c r="E3" s="3551" t="s">
        <v>124</v>
      </c>
      <c r="F3" s="3551" t="s">
        <v>160</v>
      </c>
      <c r="G3" s="3551">
        <v>40</v>
      </c>
      <c r="H3" s="3551" t="s">
        <v>160</v>
      </c>
      <c r="I3" s="3551" t="s">
        <v>243</v>
      </c>
      <c r="J3" s="3551" t="s">
        <v>244</v>
      </c>
      <c r="K3" s="3551" t="s">
        <v>245</v>
      </c>
      <c r="L3" s="3551" t="s">
        <v>245</v>
      </c>
      <c r="M3" s="3551" t="s">
        <v>245</v>
      </c>
      <c r="N3" s="3551" t="s">
        <v>245</v>
      </c>
      <c r="O3" s="3551" t="s">
        <v>245</v>
      </c>
      <c r="P3" s="3551" t="s">
        <v>245</v>
      </c>
      <c r="Q3" s="3551" t="s">
        <v>245</v>
      </c>
      <c r="R3" s="3551" t="s">
        <v>246</v>
      </c>
      <c r="S3" s="3551" t="s">
        <v>245</v>
      </c>
      <c r="T3" s="3551" t="s">
        <v>247</v>
      </c>
      <c r="U3" s="3551" t="s">
        <v>245</v>
      </c>
      <c r="V3" s="3551" t="s">
        <v>248</v>
      </c>
      <c r="W3" s="3551" t="s">
        <v>245</v>
      </c>
    </row>
    <row r="4" spans="1:23">
      <c r="A4" s="3557" t="s">
        <v>249</v>
      </c>
      <c r="B4" s="3557" t="s">
        <v>250</v>
      </c>
      <c r="C4" s="3558" t="s">
        <v>251</v>
      </c>
      <c r="D4" s="3551" t="s">
        <v>124</v>
      </c>
      <c r="E4" s="3551" t="s">
        <v>252</v>
      </c>
      <c r="F4" s="3551" t="s">
        <v>161</v>
      </c>
      <c r="G4" s="3551">
        <v>50</v>
      </c>
      <c r="H4" s="3551" t="s">
        <v>161</v>
      </c>
      <c r="I4" s="3551" t="s">
        <v>253</v>
      </c>
      <c r="K4" s="3551" t="s">
        <v>254</v>
      </c>
      <c r="L4" s="3551" t="s">
        <v>254</v>
      </c>
      <c r="M4" s="3551" t="s">
        <v>254</v>
      </c>
      <c r="N4" s="3551" t="s">
        <v>254</v>
      </c>
      <c r="O4" s="3551" t="s">
        <v>254</v>
      </c>
      <c r="P4" s="3551" t="s">
        <v>254</v>
      </c>
      <c r="Q4" s="3551" t="s">
        <v>254</v>
      </c>
      <c r="R4" s="3551" t="s">
        <v>255</v>
      </c>
      <c r="S4" s="3551" t="s">
        <v>254</v>
      </c>
      <c r="T4" s="3551" t="s">
        <v>256</v>
      </c>
      <c r="U4" s="3551" t="s">
        <v>254</v>
      </c>
      <c r="W4" s="3551" t="s">
        <v>254</v>
      </c>
    </row>
    <row r="5" spans="1:23">
      <c r="A5" s="3557" t="s">
        <v>257</v>
      </c>
      <c r="B5" s="3557" t="s">
        <v>258</v>
      </c>
      <c r="C5" s="3558" t="s">
        <v>259</v>
      </c>
      <c r="F5" s="3551" t="s">
        <v>162</v>
      </c>
      <c r="G5" s="3551">
        <v>70</v>
      </c>
      <c r="H5" s="3551" t="s">
        <v>260</v>
      </c>
      <c r="I5" s="3551" t="s">
        <v>261</v>
      </c>
      <c r="K5" s="3551" t="s">
        <v>262</v>
      </c>
      <c r="L5" s="3551" t="s">
        <v>262</v>
      </c>
      <c r="M5" s="3551" t="s">
        <v>262</v>
      </c>
      <c r="N5" s="3551" t="s">
        <v>262</v>
      </c>
      <c r="O5" s="3551" t="s">
        <v>262</v>
      </c>
      <c r="P5" s="3551" t="s">
        <v>262</v>
      </c>
      <c r="Q5" s="3551" t="s">
        <v>262</v>
      </c>
      <c r="R5" s="3551" t="s">
        <v>263</v>
      </c>
      <c r="S5" s="3551" t="s">
        <v>262</v>
      </c>
      <c r="T5" s="3551" t="s">
        <v>264</v>
      </c>
      <c r="U5" s="3551" t="s">
        <v>262</v>
      </c>
      <c r="W5" s="3551" t="s">
        <v>262</v>
      </c>
    </row>
    <row r="6" spans="1:23">
      <c r="A6" s="3557" t="s">
        <v>265</v>
      </c>
      <c r="B6" s="3559" t="s">
        <v>266</v>
      </c>
      <c r="C6" s="3561" t="s">
        <v>267</v>
      </c>
      <c r="F6" s="3551" t="s">
        <v>260</v>
      </c>
      <c r="H6" s="3551" t="s">
        <v>164</v>
      </c>
      <c r="I6" s="3551" t="s">
        <v>268</v>
      </c>
      <c r="K6" s="3551" t="s">
        <v>269</v>
      </c>
      <c r="L6" s="3551" t="s">
        <v>269</v>
      </c>
      <c r="M6" s="3551" t="s">
        <v>269</v>
      </c>
      <c r="N6" s="3551" t="s">
        <v>269</v>
      </c>
      <c r="O6" s="3551" t="s">
        <v>269</v>
      </c>
      <c r="P6" s="3551" t="s">
        <v>269</v>
      </c>
      <c r="Q6" s="3551" t="s">
        <v>269</v>
      </c>
      <c r="R6" s="3551" t="s">
        <v>270</v>
      </c>
      <c r="S6" s="3551" t="s">
        <v>269</v>
      </c>
      <c r="T6" s="3551"/>
      <c r="U6" s="3551" t="s">
        <v>269</v>
      </c>
      <c r="W6" s="3551" t="s">
        <v>269</v>
      </c>
    </row>
    <row r="7" spans="1:9">
      <c r="A7" s="3557" t="s">
        <v>271</v>
      </c>
      <c r="B7" s="3559" t="s">
        <v>272</v>
      </c>
      <c r="C7" s="3558" t="s">
        <v>273</v>
      </c>
      <c r="F7" s="3551" t="s">
        <v>274</v>
      </c>
      <c r="H7" s="3551" t="s">
        <v>162</v>
      </c>
      <c r="I7" s="3551" t="s">
        <v>275</v>
      </c>
    </row>
    <row r="8" spans="1:9">
      <c r="A8" s="3557" t="s">
        <v>276</v>
      </c>
      <c r="B8" s="3557" t="s">
        <v>277</v>
      </c>
      <c r="C8" s="3558" t="s">
        <v>278</v>
      </c>
      <c r="F8" s="3551" t="s">
        <v>279</v>
      </c>
      <c r="H8" s="3551" t="s">
        <v>280</v>
      </c>
      <c r="I8" s="3551" t="s">
        <v>281</v>
      </c>
    </row>
    <row r="9" spans="1:9">
      <c r="A9" s="3557" t="s">
        <v>282</v>
      </c>
      <c r="B9" s="3557" t="s">
        <v>283</v>
      </c>
      <c r="C9" s="3558" t="s">
        <v>284</v>
      </c>
      <c r="F9" s="3551" t="s">
        <v>164</v>
      </c>
      <c r="H9" s="3551"/>
      <c r="I9" s="3550" t="s">
        <v>285</v>
      </c>
    </row>
    <row r="10" spans="1:9">
      <c r="A10" s="3557" t="s">
        <v>286</v>
      </c>
      <c r="B10" s="3557" t="s">
        <v>287</v>
      </c>
      <c r="C10" s="3558" t="s">
        <v>288</v>
      </c>
      <c r="F10" s="3551" t="s">
        <v>280</v>
      </c>
      <c r="I10" s="3550" t="s">
        <v>289</v>
      </c>
    </row>
    <row r="11" spans="1:9">
      <c r="A11" s="3557" t="s">
        <v>290</v>
      </c>
      <c r="B11" s="3557" t="s">
        <v>291</v>
      </c>
      <c r="C11" s="3558" t="s">
        <v>292</v>
      </c>
      <c r="F11" s="3551" t="s">
        <v>124</v>
      </c>
      <c r="I11" s="3550" t="s">
        <v>293</v>
      </c>
    </row>
    <row r="12" spans="1:9">
      <c r="A12" s="3557" t="s">
        <v>294</v>
      </c>
      <c r="B12" s="3557" t="s">
        <v>295</v>
      </c>
      <c r="C12" s="3558" t="s">
        <v>296</v>
      </c>
      <c r="I12" s="3550" t="s">
        <v>297</v>
      </c>
    </row>
    <row r="13" spans="1:9">
      <c r="A13" s="3557" t="s">
        <v>298</v>
      </c>
      <c r="B13" s="3557" t="s">
        <v>299</v>
      </c>
      <c r="C13" s="3558" t="s">
        <v>300</v>
      </c>
      <c r="I13" s="3550" t="s">
        <v>301</v>
      </c>
    </row>
    <row r="14" spans="1:9">
      <c r="A14" s="3557" t="s">
        <v>302</v>
      </c>
      <c r="B14" s="3557" t="s">
        <v>303</v>
      </c>
      <c r="C14" s="3551" t="s">
        <v>124</v>
      </c>
      <c r="I14" s="3550" t="s">
        <v>304</v>
      </c>
    </row>
    <row r="15" spans="1:9">
      <c r="A15" s="3557" t="s">
        <v>305</v>
      </c>
      <c r="B15" s="3557" t="s">
        <v>306</v>
      </c>
      <c r="C15" s="3558"/>
      <c r="I15" s="3550" t="s">
        <v>307</v>
      </c>
    </row>
    <row r="16" spans="1:3">
      <c r="A16" s="3557" t="s">
        <v>308</v>
      </c>
      <c r="B16" s="3557" t="s">
        <v>309</v>
      </c>
      <c r="C16" s="3558"/>
    </row>
    <row r="17" spans="1:3">
      <c r="A17" s="3557" t="s">
        <v>310</v>
      </c>
      <c r="B17" s="3557" t="s">
        <v>311</v>
      </c>
      <c r="C17" s="3558"/>
    </row>
    <row r="18" spans="1:3">
      <c r="A18" s="3557" t="s">
        <v>312</v>
      </c>
      <c r="B18" s="3557" t="s">
        <v>313</v>
      </c>
      <c r="C18" s="3558"/>
    </row>
    <row r="19" spans="1:3">
      <c r="A19" s="3557" t="s">
        <v>314</v>
      </c>
      <c r="B19" s="3557" t="s">
        <v>315</v>
      </c>
      <c r="C19" s="3558"/>
    </row>
    <row r="20" spans="1:3">
      <c r="A20" s="3557" t="s">
        <v>316</v>
      </c>
      <c r="B20" s="3557" t="s">
        <v>315</v>
      </c>
      <c r="C20" s="3558"/>
    </row>
    <row r="21" spans="1:3">
      <c r="A21" s="3557" t="s">
        <v>260</v>
      </c>
      <c r="B21" s="3557" t="s">
        <v>315</v>
      </c>
      <c r="C21" s="3558"/>
    </row>
    <row r="22" spans="1:3">
      <c r="A22" s="3557" t="s">
        <v>317</v>
      </c>
      <c r="B22" s="3557" t="s">
        <v>315</v>
      </c>
      <c r="C22" s="3558"/>
    </row>
    <row r="23" spans="1:3">
      <c r="A23" s="3557" t="s">
        <v>318</v>
      </c>
      <c r="B23" s="3557" t="s">
        <v>315</v>
      </c>
      <c r="C23" s="3558"/>
    </row>
    <row r="24" spans="1:3">
      <c r="A24" s="3557" t="s">
        <v>319</v>
      </c>
      <c r="B24" s="3557" t="s">
        <v>315</v>
      </c>
      <c r="C24" s="3558"/>
    </row>
    <row r="25" spans="1:3">
      <c r="A25" s="3557" t="s">
        <v>320</v>
      </c>
      <c r="B25" s="3557" t="s">
        <v>315</v>
      </c>
      <c r="C25" s="3558"/>
    </row>
    <row r="26" spans="1:3">
      <c r="A26" s="3557" t="s">
        <v>321</v>
      </c>
      <c r="B26" s="3557" t="s">
        <v>315</v>
      </c>
      <c r="C26" s="3558"/>
    </row>
    <row r="27" spans="1:3">
      <c r="A27" s="3557" t="s">
        <v>315</v>
      </c>
      <c r="B27" s="3557" t="s">
        <v>315</v>
      </c>
      <c r="C27" s="3558"/>
    </row>
    <row r="28" spans="1:3">
      <c r="A28" s="3557" t="s">
        <v>315</v>
      </c>
      <c r="B28" s="3557" t="s">
        <v>315</v>
      </c>
      <c r="C28" s="3558"/>
    </row>
    <row r="29" spans="1:3">
      <c r="A29" s="3557" t="s">
        <v>315</v>
      </c>
      <c r="B29" s="3557" t="s">
        <v>315</v>
      </c>
      <c r="C29" s="3558"/>
    </row>
    <row r="30" spans="1:3">
      <c r="A30" s="3557" t="s">
        <v>315</v>
      </c>
      <c r="B30" s="3557" t="s">
        <v>315</v>
      </c>
      <c r="C30" s="3558"/>
    </row>
    <row r="31" spans="1:3">
      <c r="A31" s="3557" t="s">
        <v>315</v>
      </c>
      <c r="B31" s="3557" t="s">
        <v>315</v>
      </c>
      <c r="C31" s="3558"/>
    </row>
    <row r="32" spans="1:3">
      <c r="A32" s="3557" t="s">
        <v>315</v>
      </c>
      <c r="B32" s="3557" t="s">
        <v>315</v>
      </c>
      <c r="C32" s="3558"/>
    </row>
    <row r="33" spans="1:3">
      <c r="A33" s="3557" t="s">
        <v>315</v>
      </c>
      <c r="B33" s="3557" t="s">
        <v>315</v>
      </c>
      <c r="C33" s="3558"/>
    </row>
    <row r="34" spans="1:3">
      <c r="A34" s="3557" t="s">
        <v>315</v>
      </c>
      <c r="B34" s="3557" t="s">
        <v>315</v>
      </c>
      <c r="C34" s="3558"/>
    </row>
    <row r="35" spans="1:3">
      <c r="A35" s="3557" t="s">
        <v>315</v>
      </c>
      <c r="B35" s="3557" t="s">
        <v>315</v>
      </c>
      <c r="C35" s="3558"/>
    </row>
    <row r="36" spans="1:3">
      <c r="A36" s="3557" t="s">
        <v>315</v>
      </c>
      <c r="B36" s="3557" t="s">
        <v>315</v>
      </c>
      <c r="C36" s="3558"/>
    </row>
    <row r="37" spans="1:3">
      <c r="A37" s="3557" t="s">
        <v>315</v>
      </c>
      <c r="B37" s="3557" t="s">
        <v>315</v>
      </c>
      <c r="C37" s="3558"/>
    </row>
    <row r="38" spans="1:3">
      <c r="A38" s="3557" t="s">
        <v>315</v>
      </c>
      <c r="B38" s="3557" t="s">
        <v>315</v>
      </c>
      <c r="C38" s="3558"/>
    </row>
    <row r="39" spans="1:3">
      <c r="A39" s="3557" t="s">
        <v>315</v>
      </c>
      <c r="B39" s="3557" t="s">
        <v>315</v>
      </c>
      <c r="C39" s="3558"/>
    </row>
    <row r="40" spans="1:3">
      <c r="A40" s="3557" t="s">
        <v>315</v>
      </c>
      <c r="B40" s="3557" t="s">
        <v>315</v>
      </c>
      <c r="C40" s="3558"/>
    </row>
    <row r="41" spans="1:3">
      <c r="A41" s="3557" t="s">
        <v>315</v>
      </c>
      <c r="B41" s="3557" t="s">
        <v>315</v>
      </c>
      <c r="C41" s="3558"/>
    </row>
    <row r="42" spans="1:3">
      <c r="A42" s="3557" t="s">
        <v>315</v>
      </c>
      <c r="B42" s="3557" t="s">
        <v>315</v>
      </c>
      <c r="C42" s="3558"/>
    </row>
    <row r="43" spans="1:3">
      <c r="A43" s="3557" t="s">
        <v>315</v>
      </c>
      <c r="B43" s="3557" t="s">
        <v>315</v>
      </c>
      <c r="C43" s="3558"/>
    </row>
    <row r="44" spans="1:3">
      <c r="A44" s="3557" t="s">
        <v>315</v>
      </c>
      <c r="B44" s="3557" t="s">
        <v>315</v>
      </c>
      <c r="C44" s="3558"/>
    </row>
    <row r="45" spans="1:3">
      <c r="A45" s="3557" t="s">
        <v>315</v>
      </c>
      <c r="B45" s="3557" t="s">
        <v>315</v>
      </c>
      <c r="C45" s="3558"/>
    </row>
    <row r="46" spans="1:3">
      <c r="A46" s="3557" t="s">
        <v>315</v>
      </c>
      <c r="B46" s="3557" t="s">
        <v>315</v>
      </c>
      <c r="C46" s="3558"/>
    </row>
    <row r="47" spans="1:3">
      <c r="A47" s="3557" t="s">
        <v>315</v>
      </c>
      <c r="B47" s="3557" t="s">
        <v>315</v>
      </c>
      <c r="C47" s="3558"/>
    </row>
    <row r="48" spans="1:3">
      <c r="A48" s="3557" t="s">
        <v>315</v>
      </c>
      <c r="B48" s="3557" t="s">
        <v>315</v>
      </c>
      <c r="C48" s="3558"/>
    </row>
    <row r="49" spans="1:3">
      <c r="A49" s="3557" t="s">
        <v>315</v>
      </c>
      <c r="B49" s="3557" t="s">
        <v>315</v>
      </c>
      <c r="C49" s="3558"/>
    </row>
    <row r="50" spans="1:3">
      <c r="A50" s="3557" t="s">
        <v>315</v>
      </c>
      <c r="B50" s="3557" t="s">
        <v>315</v>
      </c>
      <c r="C50" s="3558"/>
    </row>
    <row r="51" spans="1:4">
      <c r="A51" s="3562" t="s">
        <v>322</v>
      </c>
      <c r="B51" s="356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3" t="s">
        <v>323</v>
      </c>
    </row>
    <row r="52" spans="1:4">
      <c r="A52" s="3562" t="s">
        <v>324</v>
      </c>
      <c r="B52" s="3562" t="s">
        <v>325</v>
      </c>
      <c r="C52" s="3550" t="s">
        <v>326</v>
      </c>
      <c r="D52" s="3550" t="s">
        <v>327</v>
      </c>
    </row>
    <row r="53" spans="1:3">
      <c r="A53" s="3554" t="s">
        <v>328</v>
      </c>
      <c r="B53" s="3563" t="s">
        <v>329</v>
      </c>
      <c r="C53" s="3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5月23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4"/>
      <c r="B54" s="3563" t="s">
        <v>330</v>
      </c>
      <c r="C54" s="3550" t="s">
        <v>331</v>
      </c>
    </row>
    <row r="55" spans="1:3">
      <c r="A55" s="3554"/>
      <c r="B55" s="3563" t="s">
        <v>332</v>
      </c>
      <c r="C55" s="3550" t="s">
        <v>333</v>
      </c>
    </row>
    <row r="56" spans="1:3">
      <c r="A56" s="3554"/>
      <c r="B56" s="3563" t="s">
        <v>334</v>
      </c>
      <c r="C56" s="3550" t="s">
        <v>335</v>
      </c>
    </row>
    <row r="57" spans="1:3">
      <c r="A57" s="3554"/>
      <c r="B57" s="3563" t="s">
        <v>336</v>
      </c>
      <c r="C57" s="3550" t="s">
        <v>337</v>
      </c>
    </row>
    <row r="58" spans="1:2">
      <c r="A58" s="3564"/>
      <c r="B58" s="3550"/>
    </row>
    <row r="59" spans="1:2">
      <c r="A59" s="3564"/>
      <c r="B59" s="3550"/>
    </row>
    <row r="60" spans="1:2">
      <c r="A60" s="3564"/>
      <c r="B60" s="3550"/>
    </row>
    <row r="61" spans="1:2">
      <c r="A61" s="3564"/>
      <c r="B61" s="3550"/>
    </row>
    <row r="62" spans="1:2">
      <c r="A62" s="3564"/>
      <c r="B62" s="3550"/>
    </row>
    <row r="63" spans="1:2">
      <c r="A63" s="3564"/>
      <c r="B63" s="3550"/>
    </row>
    <row r="64" spans="1:2">
      <c r="A64" s="3564"/>
      <c r="B64" s="3550"/>
    </row>
    <row r="65" spans="1:2">
      <c r="A65" s="3564"/>
      <c r="B65" s="3550"/>
    </row>
    <row r="66" spans="1:2">
      <c r="A66" s="3564"/>
      <c r="B66" s="3550"/>
    </row>
    <row r="67" spans="1:2">
      <c r="A67" s="3564"/>
      <c r="B67" s="3550"/>
    </row>
    <row r="68" spans="1:2">
      <c r="A68" s="3564"/>
      <c r="B68" s="3550"/>
    </row>
    <row r="69" spans="1:2">
      <c r="A69" s="3564"/>
      <c r="B69" s="3550"/>
    </row>
    <row r="70" spans="1:2">
      <c r="A70" s="3564"/>
      <c r="B70" s="3550"/>
    </row>
    <row r="71" spans="1:2">
      <c r="A71" s="3564"/>
      <c r="B71" s="3550"/>
    </row>
    <row r="72" spans="1:2">
      <c r="A72" s="3564"/>
      <c r="B72" s="3550"/>
    </row>
    <row r="73" spans="1:2">
      <c r="A73" s="3564"/>
      <c r="B73" s="3550"/>
    </row>
    <row r="74" spans="1:2">
      <c r="A74" s="3564"/>
      <c r="B74" s="3550"/>
    </row>
    <row r="75" spans="1:2">
      <c r="A75" s="3564"/>
      <c r="B75" s="3550"/>
    </row>
    <row r="76" spans="1:2">
      <c r="A76" s="3564"/>
      <c r="B76" s="3550"/>
    </row>
    <row r="77" spans="1:2">
      <c r="A77" s="3564"/>
      <c r="B77" s="3550"/>
    </row>
    <row r="78" spans="1:2">
      <c r="A78" s="3564"/>
      <c r="B78" s="3550"/>
    </row>
    <row r="79" spans="1:2">
      <c r="A79" s="3564"/>
      <c r="B79" s="3550"/>
    </row>
    <row r="80" spans="1:2">
      <c r="A80" s="3564"/>
      <c r="B80" s="3550"/>
    </row>
    <row r="81" spans="1:2">
      <c r="A81" s="3564"/>
      <c r="B81" s="3550"/>
    </row>
    <row r="82" spans="1:2">
      <c r="A82" s="3564"/>
      <c r="B82" s="3550"/>
    </row>
    <row r="83" spans="1:2">
      <c r="A83" s="3564"/>
      <c r="B83" s="3550"/>
    </row>
    <row r="84" spans="1:2">
      <c r="A84" s="3564"/>
      <c r="B84" s="3550"/>
    </row>
    <row r="85" spans="1:2">
      <c r="A85" s="3564"/>
      <c r="B85" s="3550"/>
    </row>
    <row r="86" spans="1:2">
      <c r="A86" s="3564"/>
      <c r="B86" s="3550"/>
    </row>
    <row r="87" spans="1:2">
      <c r="A87" s="3564"/>
      <c r="B87" s="3550"/>
    </row>
    <row r="88" spans="1:2">
      <c r="A88" s="3564"/>
      <c r="B88" s="3550"/>
    </row>
    <row r="89" spans="1:2">
      <c r="A89" s="3564"/>
      <c r="B89" s="3550"/>
    </row>
    <row r="90" spans="1:2">
      <c r="A90" s="3564"/>
      <c r="B90" s="3550"/>
    </row>
    <row r="91" spans="1:2">
      <c r="A91" s="3564"/>
      <c r="B91" s="3550"/>
    </row>
    <row r="92" spans="1:2">
      <c r="A92" s="3564"/>
      <c r="B92" s="3550"/>
    </row>
    <row r="93" spans="1:2">
      <c r="A93" s="3564"/>
      <c r="B93" s="3550"/>
    </row>
    <row r="94" spans="1:2">
      <c r="A94" s="3564"/>
      <c r="B94" s="3550"/>
    </row>
    <row r="95" spans="1:2">
      <c r="A95" s="3564"/>
      <c r="B95" s="3550"/>
    </row>
    <row r="96" spans="1:2">
      <c r="A96" s="3564"/>
      <c r="B96" s="3550"/>
    </row>
    <row r="97" spans="1:2">
      <c r="A97" s="3564"/>
      <c r="B97" s="3550"/>
    </row>
    <row r="98" spans="1:2">
      <c r="A98" s="3564"/>
      <c r="B98" s="3550"/>
    </row>
    <row r="99" spans="1:2">
      <c r="A99" s="3564"/>
      <c r="B99" s="3550"/>
    </row>
    <row r="100" spans="1:2">
      <c r="A100" s="3564"/>
      <c r="B100" s="3550"/>
    </row>
    <row r="101" spans="1:2">
      <c r="A101" s="3564"/>
      <c r="B101" s="3550"/>
    </row>
    <row r="102" spans="1:2">
      <c r="A102" s="3564"/>
      <c r="B102" s="3550"/>
    </row>
    <row r="103" spans="1:2">
      <c r="A103" s="3564"/>
      <c r="B103" s="3550"/>
    </row>
    <row r="104" spans="1:2">
      <c r="A104" s="3564"/>
      <c r="B104" s="3550"/>
    </row>
    <row r="105" spans="1:2">
      <c r="A105" s="3564"/>
      <c r="B105" s="3550"/>
    </row>
    <row r="106" spans="1:2">
      <c r="A106" s="3564"/>
      <c r="B106" s="3550"/>
    </row>
    <row r="107" spans="1:2">
      <c r="A107" s="3564"/>
      <c r="B107" s="3550"/>
    </row>
    <row r="108" spans="1:2">
      <c r="A108" s="3564"/>
      <c r="B108" s="3550"/>
    </row>
    <row r="109" spans="1:2">
      <c r="A109" s="3564"/>
      <c r="B109" s="3550"/>
    </row>
    <row r="110" spans="1:2">
      <c r="A110" s="3564"/>
      <c r="B110" s="3550"/>
    </row>
    <row r="111" spans="1:2">
      <c r="A111" s="3564"/>
      <c r="B111" s="3550"/>
    </row>
    <row r="112" spans="1:2">
      <c r="A112" s="3564"/>
      <c r="B112" s="3550"/>
    </row>
    <row r="113" spans="1:2">
      <c r="A113" s="3564"/>
      <c r="B113" s="3550"/>
    </row>
    <row r="114" spans="1:2">
      <c r="A114" s="3564"/>
      <c r="B114" s="3550"/>
    </row>
    <row r="115" spans="1:2">
      <c r="A115" s="3564"/>
      <c r="B115" s="3550"/>
    </row>
    <row r="116" spans="1:2">
      <c r="A116" s="3564"/>
      <c r="B116" s="3550"/>
    </row>
    <row r="117" spans="1:2">
      <c r="A117" s="3564"/>
      <c r="B117" s="3550"/>
    </row>
    <row r="118" spans="1:2">
      <c r="A118" s="3564"/>
      <c r="B118" s="3550"/>
    </row>
    <row r="119" spans="1:2">
      <c r="A119" s="3564"/>
      <c r="B119" s="3550"/>
    </row>
    <row r="120" spans="1:2">
      <c r="A120" s="3564"/>
      <c r="B120" s="3550"/>
    </row>
    <row r="121" spans="1:2">
      <c r="A121" s="3564"/>
      <c r="B121" s="3550"/>
    </row>
    <row r="122" spans="1:2">
      <c r="A122" s="3564"/>
      <c r="B122" s="3550"/>
    </row>
    <row r="123" spans="1:2">
      <c r="A123" s="3564"/>
      <c r="B123" s="3550"/>
    </row>
    <row r="124" spans="1:2">
      <c r="A124" s="3564"/>
      <c r="B124" s="3550"/>
    </row>
    <row r="125" spans="1:2">
      <c r="A125" s="3564"/>
      <c r="B125" s="3550"/>
    </row>
    <row r="126" spans="1:2">
      <c r="A126" s="3564"/>
      <c r="B126" s="3550"/>
    </row>
    <row r="127" spans="1:2">
      <c r="A127" s="3564"/>
      <c r="B127" s="355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D26" sqref="D26"/>
    </sheetView>
  </sheetViews>
  <sheetFormatPr defaultColWidth="15.25" defaultRowHeight="13.5"/>
  <cols>
    <col min="1" max="7" width="15.25" style="3496"/>
    <col min="8" max="8" width="5.5" style="3496" customWidth="1"/>
    <col min="9" max="13" width="9.5" style="3497" customWidth="1"/>
    <col min="14" max="18" width="9.5" style="3496" customWidth="1"/>
    <col min="19" max="16384" width="15.25" style="3496"/>
  </cols>
  <sheetData>
    <row r="1" spans="1:18">
      <c r="A1" s="3498" t="s">
        <v>338</v>
      </c>
      <c r="B1" s="3499"/>
      <c r="C1" s="3499"/>
      <c r="D1" s="3499"/>
      <c r="E1" s="3499"/>
      <c r="F1" s="3500"/>
      <c r="I1" s="3541" t="s">
        <v>339</v>
      </c>
      <c r="J1" s="349"/>
      <c r="K1" s="349"/>
      <c r="L1" s="349"/>
      <c r="M1" s="349"/>
      <c r="N1" s="3542"/>
      <c r="O1" s="3542"/>
      <c r="P1" s="3542"/>
      <c r="Q1" s="3542"/>
      <c r="R1" s="3542"/>
    </row>
    <row r="2" spans="1:18">
      <c r="A2" s="3501"/>
      <c r="B2" s="3502"/>
      <c r="C2" s="3502"/>
      <c r="D2" s="3502"/>
      <c r="E2" s="3502"/>
      <c r="F2" s="3503"/>
      <c r="I2" s="3543" t="s">
        <v>340</v>
      </c>
      <c r="J2" s="3543"/>
      <c r="K2" s="3543"/>
      <c r="L2" s="3543"/>
      <c r="M2" s="3543"/>
      <c r="N2" s="3543"/>
      <c r="O2" s="3543"/>
      <c r="P2" s="3543"/>
      <c r="Q2" s="3543"/>
      <c r="R2" s="3543"/>
    </row>
    <row r="3" spans="1:18">
      <c r="A3" s="504" t="s">
        <v>341</v>
      </c>
      <c r="B3" s="3504">
        <f>项目基本情况!D3</f>
        <v>45069</v>
      </c>
      <c r="C3" s="505"/>
      <c r="D3" s="505"/>
      <c r="E3" s="505"/>
      <c r="F3" s="3503"/>
      <c r="I3" s="3544"/>
      <c r="J3" s="3544" t="s">
        <v>342</v>
      </c>
      <c r="K3" s="3544" t="s">
        <v>343</v>
      </c>
      <c r="L3" s="3544" t="s">
        <v>344</v>
      </c>
      <c r="M3" s="3544" t="s">
        <v>345</v>
      </c>
      <c r="N3" s="3545" t="s">
        <v>346</v>
      </c>
      <c r="O3" s="3545" t="s">
        <v>347</v>
      </c>
      <c r="P3" s="3545" t="s">
        <v>348</v>
      </c>
      <c r="Q3" s="3545" t="s">
        <v>349</v>
      </c>
      <c r="R3" s="3545" t="s">
        <v>350</v>
      </c>
    </row>
    <row r="4" spans="1:18">
      <c r="A4" s="504" t="s">
        <v>351</v>
      </c>
      <c r="B4" s="505" t="s">
        <v>352</v>
      </c>
      <c r="C4" s="505" t="s">
        <v>353</v>
      </c>
      <c r="D4" s="505" t="s">
        <v>354</v>
      </c>
      <c r="E4" s="505" t="s">
        <v>355</v>
      </c>
      <c r="F4" s="3503"/>
      <c r="I4" s="3544" t="s">
        <v>356</v>
      </c>
      <c r="J4" s="3544">
        <v>80</v>
      </c>
      <c r="K4" s="3544">
        <v>70</v>
      </c>
      <c r="L4" s="3544">
        <v>20</v>
      </c>
      <c r="M4" s="3544">
        <v>30</v>
      </c>
      <c r="N4" s="505">
        <v>45</v>
      </c>
      <c r="O4" s="505">
        <v>60</v>
      </c>
      <c r="P4" s="505">
        <v>50</v>
      </c>
      <c r="Q4" s="505">
        <v>20</v>
      </c>
      <c r="R4" s="505">
        <v>375</v>
      </c>
    </row>
    <row r="5" spans="1:18">
      <c r="A5" s="3505">
        <v>40</v>
      </c>
      <c r="B5" s="3504">
        <v>46375</v>
      </c>
      <c r="C5" s="505">
        <f>ROUNDDOWN(MIN((B5-B3)/365,A5),2)</f>
        <v>3.57</v>
      </c>
      <c r="D5" s="3506">
        <f>IF(ISERROR(ROUND(POWER(1+E5,A5-C5)*(POWER(1+E5,C5)-1)/(POWER(1+E5,A5)-1),3)),0,ROUND(POWER(1+E5,A5-C5)*(POWER(1+E5,C5)-1)/(POWER(1+E5,A5)-1),4))</f>
        <v>0.165</v>
      </c>
      <c r="E5" s="3507">
        <v>0.04</v>
      </c>
      <c r="F5" s="3503"/>
      <c r="I5" s="3544" t="s">
        <v>357</v>
      </c>
      <c r="J5" s="3544">
        <v>70</v>
      </c>
      <c r="K5" s="3544">
        <v>60</v>
      </c>
      <c r="L5" s="3544">
        <v>15</v>
      </c>
      <c r="M5" s="3544">
        <v>25</v>
      </c>
      <c r="N5" s="505">
        <v>40</v>
      </c>
      <c r="O5" s="505">
        <v>50</v>
      </c>
      <c r="P5" s="505">
        <v>40</v>
      </c>
      <c r="Q5" s="505">
        <v>15</v>
      </c>
      <c r="R5" s="505">
        <v>315</v>
      </c>
    </row>
    <row r="6" spans="1:18">
      <c r="A6" s="3505">
        <v>50</v>
      </c>
      <c r="B6" s="3504">
        <v>50028</v>
      </c>
      <c r="C6" s="505">
        <f>ROUNDDOWN(MIN((B6-B3)/365,A6),2)</f>
        <v>13.58</v>
      </c>
      <c r="D6" s="3506">
        <f>IF(ISERROR(ROUND(POWER(1+E6,A6-C6)*(POWER(1+E6,C6)-1)/(POWER(1+E6,A6)-1),3)),0,ROUND(POWER(1+E6,A6-C6)*(POWER(1+E6,C6)-1)/(POWER(1+E6,A6)-1),4))</f>
        <v>0.4806</v>
      </c>
      <c r="E6" s="3507">
        <v>0.04</v>
      </c>
      <c r="F6" s="3503"/>
      <c r="I6" s="3544" t="s">
        <v>358</v>
      </c>
      <c r="J6" s="3544">
        <v>60</v>
      </c>
      <c r="K6" s="3544">
        <v>50</v>
      </c>
      <c r="L6" s="3544">
        <v>10</v>
      </c>
      <c r="M6" s="3544">
        <v>20</v>
      </c>
      <c r="N6" s="505">
        <v>35</v>
      </c>
      <c r="O6" s="505">
        <v>40</v>
      </c>
      <c r="P6" s="505">
        <v>30</v>
      </c>
      <c r="Q6" s="505">
        <v>10</v>
      </c>
      <c r="R6" s="505">
        <v>255</v>
      </c>
    </row>
    <row r="7" spans="1:6">
      <c r="A7" s="3505">
        <v>70</v>
      </c>
      <c r="B7" s="3504">
        <v>57333</v>
      </c>
      <c r="C7" s="505">
        <f>ROUNDDOWN(MIN((B7-B3)/365,A7),2)</f>
        <v>33.6</v>
      </c>
      <c r="D7" s="3506">
        <f>IF(ISERROR(ROUND(POWER(1+E7,A7-C7)*(POWER(1+E7,C7)-1)/(POWER(1+E7,A7)-1),3)),0,ROUND(POWER(1+E7,A7-C7)*(POWER(1+E7,C7)-1)/(POWER(1+E7,A7)-1),4))</f>
        <v>0.7825</v>
      </c>
      <c r="E7" s="3507">
        <v>0.04</v>
      </c>
      <c r="F7" s="3503"/>
    </row>
    <row r="8" spans="1:6">
      <c r="A8" s="3501"/>
      <c r="B8" s="3502"/>
      <c r="C8" s="3502"/>
      <c r="D8" s="3502"/>
      <c r="E8" s="3502"/>
      <c r="F8" s="3503"/>
    </row>
    <row r="9" spans="1:6">
      <c r="A9" s="504" t="s">
        <v>359</v>
      </c>
      <c r="B9" s="505"/>
      <c r="C9" s="505"/>
      <c r="D9" s="505"/>
      <c r="E9" s="505"/>
      <c r="F9" s="557"/>
    </row>
    <row r="10" spans="1:6">
      <c r="A10" s="504" t="s">
        <v>360</v>
      </c>
      <c r="B10" s="505"/>
      <c r="C10" s="505"/>
      <c r="D10" s="505" t="s">
        <v>355</v>
      </c>
      <c r="E10" s="505"/>
      <c r="F10" s="557" t="s">
        <v>354</v>
      </c>
    </row>
    <row r="11" spans="1:6">
      <c r="A11" s="504" t="s">
        <v>361</v>
      </c>
      <c r="B11" s="3508">
        <v>70</v>
      </c>
      <c r="C11" s="505" t="s">
        <v>362</v>
      </c>
      <c r="D11" s="3509">
        <v>0.045</v>
      </c>
      <c r="E11" s="505" t="s">
        <v>363</v>
      </c>
      <c r="F11" s="3510">
        <f>ROUND(1-(1/(POWER(1+D11,B11))),4)</f>
        <v>0.9541</v>
      </c>
    </row>
    <row r="12" spans="1:6">
      <c r="A12" s="504" t="s">
        <v>364</v>
      </c>
      <c r="B12" s="3508">
        <v>40</v>
      </c>
      <c r="C12" s="505" t="s">
        <v>365</v>
      </c>
      <c r="D12" s="3509">
        <v>0.045</v>
      </c>
      <c r="E12" s="505" t="s">
        <v>366</v>
      </c>
      <c r="F12" s="3510">
        <f>ROUND(1-(1/(POWER(1+D12,B12))),4)</f>
        <v>0.8281</v>
      </c>
    </row>
    <row r="13" spans="1:6">
      <c r="A13" s="504" t="s">
        <v>367</v>
      </c>
      <c r="B13" s="505"/>
      <c r="C13" s="505"/>
      <c r="D13" s="3502"/>
      <c r="E13" s="3502"/>
      <c r="F13" s="3503"/>
    </row>
    <row r="14" spans="1:6">
      <c r="A14" s="504" t="s">
        <v>368</v>
      </c>
      <c r="B14" s="3508">
        <v>5000</v>
      </c>
      <c r="C14" s="3511"/>
      <c r="D14" s="3502"/>
      <c r="E14" s="3502"/>
      <c r="F14" s="3503"/>
    </row>
    <row r="15" spans="1:6">
      <c r="A15" s="504" t="s">
        <v>369</v>
      </c>
      <c r="B15" s="505">
        <f>ROUND(B14*F12/F11,2)</f>
        <v>4339.69</v>
      </c>
      <c r="C15" s="505">
        <f>ROUND(F12/F11,4)</f>
        <v>0.8679</v>
      </c>
      <c r="D15" s="3502"/>
      <c r="E15" s="3502"/>
      <c r="F15" s="3503"/>
    </row>
    <row r="16" spans="1:6">
      <c r="A16" s="504" t="s">
        <v>370</v>
      </c>
      <c r="B16" s="505"/>
      <c r="C16" s="505"/>
      <c r="D16" s="3502"/>
      <c r="E16" s="3502"/>
      <c r="F16" s="3503"/>
    </row>
    <row r="17" spans="1:6">
      <c r="A17" s="504" t="s">
        <v>369</v>
      </c>
      <c r="B17" s="3509">
        <v>4810</v>
      </c>
      <c r="C17" s="3511"/>
      <c r="D17" s="3502"/>
      <c r="E17" s="3502"/>
      <c r="F17" s="3503"/>
    </row>
    <row r="18" ht="14.25" spans="1:6">
      <c r="A18" s="3512" t="s">
        <v>368</v>
      </c>
      <c r="B18" s="560">
        <f>ROUND(B17*F11/F12,2)</f>
        <v>5541.87</v>
      </c>
      <c r="C18" s="560">
        <f>ROUND(F11/F12,4)</f>
        <v>1.1522</v>
      </c>
      <c r="D18" s="3513"/>
      <c r="E18" s="3513"/>
      <c r="F18" s="3514"/>
    </row>
    <row r="19" ht="14.25"/>
    <row r="20" s="3495" customFormat="1" ht="14.25" spans="1:13">
      <c r="A20" s="3515" t="s">
        <v>371</v>
      </c>
      <c r="B20" s="3516"/>
      <c r="C20" s="3516"/>
      <c r="D20" s="3516"/>
      <c r="E20" s="3516"/>
      <c r="F20" s="3516"/>
      <c r="G20" s="3517"/>
      <c r="I20" s="3546" t="s">
        <v>372</v>
      </c>
      <c r="J20" s="3546" t="s">
        <v>373</v>
      </c>
      <c r="K20" s="3546"/>
      <c r="L20" s="3546"/>
      <c r="M20" s="3546"/>
    </row>
    <row r="21" spans="1:10">
      <c r="A21" s="3518"/>
      <c r="B21" s="3519" t="s">
        <v>374</v>
      </c>
      <c r="C21" s="3519" t="s">
        <v>353</v>
      </c>
      <c r="D21" s="3519" t="s">
        <v>375</v>
      </c>
      <c r="E21" s="3519" t="s">
        <v>354</v>
      </c>
      <c r="F21" s="3519" t="s">
        <v>376</v>
      </c>
      <c r="G21" s="3520" t="s">
        <v>377</v>
      </c>
      <c r="I21" s="3497">
        <v>5</v>
      </c>
      <c r="J21" s="3497">
        <v>54.2</v>
      </c>
    </row>
    <row r="22" spans="1:11">
      <c r="A22" s="3518" t="s">
        <v>378</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3">
      <c r="A23" s="3518" t="s">
        <v>379</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380</v>
      </c>
      <c r="M23" s="3497" t="s">
        <v>381</v>
      </c>
    </row>
    <row r="24" spans="1:13">
      <c r="A24" s="3518" t="s">
        <v>382</v>
      </c>
      <c r="B24" s="3521">
        <v>70</v>
      </c>
      <c r="C24" s="3521">
        <v>50</v>
      </c>
      <c r="D24" s="3522">
        <v>0.04</v>
      </c>
      <c r="E24" s="3519">
        <f t="shared" si="0"/>
        <v>0.918</v>
      </c>
      <c r="F24" s="3522">
        <f>F23</f>
        <v>0.7</v>
      </c>
      <c r="G24" s="3520">
        <f t="shared" si="1"/>
        <v>94.3</v>
      </c>
      <c r="I24" s="3497">
        <v>20</v>
      </c>
      <c r="J24" s="3497">
        <v>81</v>
      </c>
      <c r="K24" s="3497">
        <f t="shared" si="2"/>
        <v>6.90000000000001</v>
      </c>
      <c r="L24" s="3497" t="s">
        <v>383</v>
      </c>
      <c r="M24" s="3497">
        <v>10</v>
      </c>
    </row>
    <row r="25" spans="1:13">
      <c r="A25" s="3518" t="s">
        <v>384</v>
      </c>
      <c r="B25" s="3521">
        <v>70</v>
      </c>
      <c r="C25" s="3521">
        <v>60</v>
      </c>
      <c r="D25" s="3522">
        <v>0.04</v>
      </c>
      <c r="E25" s="3519">
        <f t="shared" si="0"/>
        <v>0.967</v>
      </c>
      <c r="F25" s="3522">
        <f>F24</f>
        <v>0.7</v>
      </c>
      <c r="G25" s="3520">
        <f t="shared" si="1"/>
        <v>97.7</v>
      </c>
      <c r="I25" s="3497">
        <v>25</v>
      </c>
      <c r="J25" s="3497">
        <v>86.3</v>
      </c>
      <c r="K25" s="3497">
        <f t="shared" si="2"/>
        <v>5.3</v>
      </c>
      <c r="L25" s="3497" t="s">
        <v>385</v>
      </c>
      <c r="M25" s="3497">
        <v>8</v>
      </c>
    </row>
    <row r="26" spans="1:13">
      <c r="A26" s="3523"/>
      <c r="B26" s="3524"/>
      <c r="C26" s="3524"/>
      <c r="D26" s="3524"/>
      <c r="E26" s="3524"/>
      <c r="F26" s="3524"/>
      <c r="G26" s="3525"/>
      <c r="I26" s="3497">
        <v>30</v>
      </c>
      <c r="J26" s="3497">
        <v>90.5</v>
      </c>
      <c r="K26" s="3497">
        <f t="shared" si="2"/>
        <v>4.2</v>
      </c>
      <c r="L26" s="3497" t="s">
        <v>386</v>
      </c>
      <c r="M26" s="3497">
        <v>5</v>
      </c>
    </row>
    <row r="27" spans="1:13">
      <c r="A27" s="3523" t="s">
        <v>387</v>
      </c>
      <c r="B27" s="3524"/>
      <c r="C27" s="3524"/>
      <c r="D27" s="3524"/>
      <c r="E27" s="3524"/>
      <c r="F27" s="3524"/>
      <c r="G27" s="3525"/>
      <c r="I27" s="3497">
        <v>35</v>
      </c>
      <c r="J27" s="3497">
        <v>93.8</v>
      </c>
      <c r="K27" s="3497">
        <f t="shared" si="2"/>
        <v>3.3</v>
      </c>
      <c r="L27" s="3497" t="s">
        <v>388</v>
      </c>
      <c r="M27" s="3497">
        <v>3</v>
      </c>
    </row>
    <row r="28" spans="1:13">
      <c r="A28" s="3523" t="s">
        <v>389</v>
      </c>
      <c r="B28" s="3524"/>
      <c r="C28" s="3524"/>
      <c r="D28" s="3524"/>
      <c r="E28" s="3524"/>
      <c r="F28" s="3524"/>
      <c r="G28" s="3525"/>
      <c r="I28" s="3497">
        <v>40</v>
      </c>
      <c r="J28" s="3497">
        <v>96.4</v>
      </c>
      <c r="K28" s="3497">
        <f t="shared" si="2"/>
        <v>2.60000000000001</v>
      </c>
      <c r="L28" s="3497" t="s">
        <v>390</v>
      </c>
      <c r="M28" s="3497">
        <v>2</v>
      </c>
    </row>
    <row r="29" spans="1:11">
      <c r="A29" s="3523" t="s">
        <v>391</v>
      </c>
      <c r="B29" s="3524"/>
      <c r="C29" s="3524"/>
      <c r="D29" s="3524"/>
      <c r="E29" s="3524"/>
      <c r="F29" s="3524"/>
      <c r="G29" s="3525"/>
      <c r="I29" s="3497">
        <v>45</v>
      </c>
      <c r="J29" s="3497">
        <v>98.4</v>
      </c>
      <c r="K29" s="3497">
        <f t="shared" si="2"/>
        <v>2</v>
      </c>
    </row>
    <row r="30" spans="1:11">
      <c r="A30" s="3523" t="s">
        <v>392</v>
      </c>
      <c r="B30" s="3524"/>
      <c r="C30" s="3524"/>
      <c r="D30" s="3524"/>
      <c r="E30" s="3524"/>
      <c r="F30" s="3524"/>
      <c r="G30" s="3525"/>
      <c r="I30" s="3497">
        <v>50</v>
      </c>
      <c r="J30" s="3497">
        <v>100</v>
      </c>
      <c r="K30" s="3497">
        <f t="shared" si="2"/>
        <v>1.59999999999999</v>
      </c>
    </row>
    <row r="31" spans="1:9">
      <c r="A31" s="3523" t="s">
        <v>393</v>
      </c>
      <c r="B31" s="3524"/>
      <c r="C31" s="3524"/>
      <c r="D31" s="3524"/>
      <c r="E31" s="3524"/>
      <c r="F31" s="3524"/>
      <c r="G31" s="3525"/>
      <c r="I31" s="3497" t="s">
        <v>394</v>
      </c>
    </row>
    <row r="32" spans="1:7">
      <c r="A32" s="3523" t="s">
        <v>395</v>
      </c>
      <c r="B32" s="3524"/>
      <c r="C32" s="3524"/>
      <c r="D32" s="3524"/>
      <c r="E32" s="3524"/>
      <c r="F32" s="3524"/>
      <c r="G32" s="3525"/>
    </row>
    <row r="33" spans="1:10">
      <c r="A33" s="3523" t="s">
        <v>396</v>
      </c>
      <c r="B33" s="3524"/>
      <c r="C33" s="3524"/>
      <c r="D33" s="3524"/>
      <c r="E33" s="3524"/>
      <c r="F33" s="3524"/>
      <c r="G33" s="3525"/>
      <c r="I33" s="3497" t="s">
        <v>372</v>
      </c>
      <c r="J33" s="3497" t="s">
        <v>397</v>
      </c>
    </row>
    <row r="34" spans="1:10">
      <c r="A34" s="3523" t="s">
        <v>398</v>
      </c>
      <c r="B34" s="3524"/>
      <c r="C34" s="3524"/>
      <c r="D34" s="3524"/>
      <c r="E34" s="3524"/>
      <c r="F34" s="3524"/>
      <c r="G34" s="3525"/>
      <c r="I34" s="3497">
        <v>5</v>
      </c>
      <c r="J34" s="3497">
        <v>55.1</v>
      </c>
    </row>
    <row r="35" spans="1:11">
      <c r="A35" s="3523" t="s">
        <v>399</v>
      </c>
      <c r="B35" s="3524"/>
      <c r="C35" s="3524"/>
      <c r="D35" s="3524"/>
      <c r="E35" s="3524"/>
      <c r="F35" s="3524"/>
      <c r="G35" s="3525"/>
      <c r="I35" s="3497">
        <v>10</v>
      </c>
      <c r="J35" s="3497">
        <v>67</v>
      </c>
      <c r="K35" s="3497">
        <f>J35-J34</f>
        <v>11.9</v>
      </c>
    </row>
    <row r="36" spans="1:13">
      <c r="A36" s="3523" t="s">
        <v>400</v>
      </c>
      <c r="B36" s="3524"/>
      <c r="C36" s="3524"/>
      <c r="D36" s="3524"/>
      <c r="E36" s="3524"/>
      <c r="F36" s="3524"/>
      <c r="G36" s="3525"/>
      <c r="I36" s="3497">
        <v>15</v>
      </c>
      <c r="J36" s="3497">
        <v>76.3</v>
      </c>
      <c r="K36" s="3497">
        <f t="shared" ref="K36:K41" si="3">J36-J35</f>
        <v>9.3</v>
      </c>
      <c r="L36" s="3497" t="s">
        <v>380</v>
      </c>
      <c r="M36" s="3497" t="s">
        <v>381</v>
      </c>
    </row>
    <row r="37" spans="1:13">
      <c r="A37" s="3523" t="s">
        <v>401</v>
      </c>
      <c r="B37" s="3524"/>
      <c r="C37" s="3524"/>
      <c r="D37" s="3524"/>
      <c r="E37" s="3524"/>
      <c r="F37" s="3524"/>
      <c r="G37" s="3525"/>
      <c r="I37" s="3497">
        <v>20</v>
      </c>
      <c r="J37" s="3497">
        <v>83.6</v>
      </c>
      <c r="K37" s="3497">
        <f t="shared" si="3"/>
        <v>7.3</v>
      </c>
      <c r="L37" s="3497" t="s">
        <v>383</v>
      </c>
      <c r="M37" s="3497">
        <v>10</v>
      </c>
    </row>
    <row r="38" spans="1:13">
      <c r="A38" s="3523" t="s">
        <v>402</v>
      </c>
      <c r="B38" s="3524"/>
      <c r="C38" s="3524"/>
      <c r="D38" s="3524"/>
      <c r="E38" s="3524"/>
      <c r="F38" s="3524"/>
      <c r="G38" s="3525"/>
      <c r="I38" s="3497">
        <v>25</v>
      </c>
      <c r="J38" s="3497">
        <v>89.3</v>
      </c>
      <c r="K38" s="3497">
        <f t="shared" si="3"/>
        <v>5.7</v>
      </c>
      <c r="L38" s="3497" t="s">
        <v>385</v>
      </c>
      <c r="M38" s="3497">
        <v>8</v>
      </c>
    </row>
    <row r="39" spans="1:13">
      <c r="A39" s="3523"/>
      <c r="B39" s="3524"/>
      <c r="C39" s="3524"/>
      <c r="D39" s="3524"/>
      <c r="E39" s="3524"/>
      <c r="F39" s="3524"/>
      <c r="G39" s="3525"/>
      <c r="I39" s="3497">
        <v>30</v>
      </c>
      <c r="J39" s="3497">
        <v>93.8</v>
      </c>
      <c r="K39" s="3497">
        <f t="shared" si="3"/>
        <v>4.5</v>
      </c>
      <c r="L39" s="3497" t="s">
        <v>386</v>
      </c>
      <c r="M39" s="3497">
        <v>6</v>
      </c>
    </row>
    <row r="40" spans="1:13">
      <c r="A40" s="3526" t="s">
        <v>403</v>
      </c>
      <c r="B40" s="3527"/>
      <c r="C40" s="3527"/>
      <c r="D40" s="3527"/>
      <c r="E40" s="3527"/>
      <c r="F40" s="3527"/>
      <c r="G40" s="3528"/>
      <c r="I40" s="3497">
        <v>35</v>
      </c>
      <c r="J40" s="3497">
        <v>97.2</v>
      </c>
      <c r="K40" s="3497">
        <f t="shared" si="3"/>
        <v>3.40000000000001</v>
      </c>
      <c r="L40" s="3497" t="s">
        <v>388</v>
      </c>
      <c r="M40" s="3497">
        <v>3</v>
      </c>
    </row>
    <row r="41" spans="1:11">
      <c r="A41" s="3529" t="s">
        <v>404</v>
      </c>
      <c r="B41" s="3530" t="s">
        <v>405</v>
      </c>
      <c r="C41" s="3531" t="s">
        <v>406</v>
      </c>
      <c r="D41" s="3531" t="s">
        <v>407</v>
      </c>
      <c r="E41" s="3532"/>
      <c r="F41" s="3533"/>
      <c r="G41" s="3534"/>
      <c r="I41" s="3497">
        <v>40</v>
      </c>
      <c r="J41" s="3497">
        <v>100</v>
      </c>
      <c r="K41" s="3497">
        <f t="shared" si="3"/>
        <v>2.8</v>
      </c>
    </row>
    <row r="42" spans="1:7">
      <c r="A42" s="3529" t="s">
        <v>408</v>
      </c>
      <c r="B42" s="3530" t="s">
        <v>409</v>
      </c>
      <c r="C42" s="3531" t="s">
        <v>409</v>
      </c>
      <c r="D42" s="3535" t="s">
        <v>410</v>
      </c>
      <c r="E42" s="3527" t="s">
        <v>411</v>
      </c>
      <c r="F42" s="3527"/>
      <c r="G42" s="3528"/>
    </row>
    <row r="43" spans="1:10">
      <c r="A43" s="3529" t="s">
        <v>412</v>
      </c>
      <c r="B43" s="3530" t="s">
        <v>413</v>
      </c>
      <c r="C43" s="3531" t="s">
        <v>414</v>
      </c>
      <c r="D43" s="3531" t="s">
        <v>415</v>
      </c>
      <c r="E43" s="3532" t="s">
        <v>416</v>
      </c>
      <c r="F43" s="3533"/>
      <c r="G43" s="3534"/>
      <c r="I43" s="3497" t="s">
        <v>372</v>
      </c>
      <c r="J43" s="3497" t="s">
        <v>417</v>
      </c>
    </row>
    <row r="44" spans="1:10">
      <c r="A44" s="3529" t="s">
        <v>418</v>
      </c>
      <c r="B44" s="3530" t="s">
        <v>419</v>
      </c>
      <c r="C44" s="3531" t="s">
        <v>420</v>
      </c>
      <c r="D44" s="3535">
        <v>0.5</v>
      </c>
      <c r="E44" s="3532" t="s">
        <v>421</v>
      </c>
      <c r="F44" s="3533"/>
      <c r="G44" s="3534"/>
      <c r="I44" s="3497">
        <v>30</v>
      </c>
      <c r="J44" s="3497">
        <v>81.7</v>
      </c>
    </row>
    <row r="45" ht="14.25" spans="1:11">
      <c r="A45" s="3536" t="s">
        <v>422</v>
      </c>
      <c r="B45" s="3537" t="s">
        <v>409</v>
      </c>
      <c r="C45" s="3538" t="s">
        <v>409</v>
      </c>
      <c r="D45" s="3538" t="s">
        <v>423</v>
      </c>
      <c r="E45" s="3539" t="s">
        <v>424</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6" sqref="G6"/>
    </sheetView>
  </sheetViews>
  <sheetFormatPr defaultColWidth="10" defaultRowHeight="12.75"/>
  <cols>
    <col min="1" max="1" width="16.875" style="2948" customWidth="1"/>
    <col min="2" max="2" width="10" style="2948" customWidth="1"/>
    <col min="3" max="3" width="11.5" style="2948" customWidth="1"/>
    <col min="4" max="4" width="10" style="2948" customWidth="1"/>
    <col min="5" max="5" width="12.625" style="2948" customWidth="1"/>
    <col min="6" max="6" width="10" style="2948" customWidth="1"/>
    <col min="7" max="7" width="10.75" style="2948" customWidth="1"/>
    <col min="8" max="8" width="10" style="2948" customWidth="1"/>
    <col min="9" max="9" width="11.125" style="3243" customWidth="1"/>
    <col min="10" max="10" width="10" style="3146" customWidth="1"/>
    <col min="11" max="11" width="10" style="3340" customWidth="1"/>
    <col min="12" max="13" width="10" style="3341" customWidth="1"/>
    <col min="14" max="14" width="10" style="3146" customWidth="1"/>
    <col min="15" max="15" width="10" style="988" customWidth="1"/>
    <col min="16" max="17" width="10" style="3146"/>
    <col min="18" max="18" width="10" style="3146" customWidth="1"/>
    <col min="19" max="30" width="10" style="3146"/>
    <col min="31" max="16384" width="10" style="2948"/>
  </cols>
  <sheetData>
    <row r="1" ht="13.5" spans="1:28">
      <c r="A1" s="3342" t="s">
        <v>425</v>
      </c>
      <c r="B1" s="3343" t="str">
        <f>IF(B10="北京市","北京市",C10)&amp;F10&amp;IF(结果表!G1="在建","出让国有建设用地使用权及在建建筑物",IF(结果表!G1="土地","出让国有建设用地使用权",))&amp;B9&amp;"预评估"</f>
        <v>北京市房地产市场价值预评估</v>
      </c>
      <c r="C1" s="3344"/>
      <c r="D1" s="3344"/>
      <c r="E1" s="3344"/>
      <c r="F1" s="3344"/>
      <c r="G1" s="3344"/>
      <c r="H1" s="3344"/>
      <c r="I1" s="3459"/>
      <c r="J1" s="2898"/>
      <c r="K1" s="3460"/>
      <c r="L1" s="3461"/>
      <c r="M1" s="3461"/>
      <c r="N1" s="3388"/>
      <c r="O1" s="3251"/>
      <c r="P1" s="3388"/>
      <c r="Q1" s="3388"/>
      <c r="R1" s="3388"/>
      <c r="S1" s="2949" t="str">
        <f>IF(B10="北京市","北京市",C10)&amp;F10&amp;IF(结果表!G1="在建","出让国有建设用地使用权及在建建筑物房地产抵押价值",IF(结果表!G1="土地","出让国有建设用地使用权抵押价值",B9))</f>
        <v>北京市房地产市场价值</v>
      </c>
      <c r="T1" s="2948"/>
      <c r="U1" s="2948"/>
      <c r="V1" s="2948"/>
      <c r="W1" s="2948"/>
      <c r="X1" s="2948"/>
      <c r="Y1" s="2948"/>
      <c r="Z1" s="2948"/>
      <c r="AA1" s="2948"/>
      <c r="AB1" s="2948"/>
    </row>
    <row r="2" spans="1:28">
      <c r="A2" s="3345" t="s">
        <v>426</v>
      </c>
      <c r="B2" s="3346"/>
      <c r="C2" s="3347"/>
      <c r="D2" s="3348"/>
      <c r="E2" s="3349"/>
      <c r="F2" s="3349"/>
      <c r="G2" s="3350"/>
      <c r="H2" s="3350"/>
      <c r="I2" s="3350"/>
      <c r="J2" s="2898"/>
      <c r="K2" s="3460"/>
      <c r="L2" s="3461"/>
      <c r="M2" s="3461"/>
      <c r="N2" s="3388"/>
      <c r="O2" s="3251"/>
      <c r="P2" s="3388"/>
      <c r="Q2" s="3388"/>
      <c r="R2" s="3388"/>
      <c r="S2" s="2949" t="str">
        <f>IF(B10="北京市","北京市",C10)&amp;F10&amp;IF(结果表!G1="在建","出让国有建设用地使用权及在建建筑物房地产",IF(结果表!G1="土地","出让国有建设用地使用权","房地产"))</f>
        <v>北京市房地产</v>
      </c>
      <c r="T2" s="2948"/>
      <c r="U2" s="2948"/>
      <c r="V2" s="2948"/>
      <c r="W2" s="2948"/>
      <c r="X2" s="2948"/>
      <c r="Y2" s="2948"/>
      <c r="Z2" s="2948"/>
      <c r="AA2" s="2948"/>
      <c r="AB2" s="2948"/>
    </row>
    <row r="3" spans="1:28">
      <c r="A3" s="2026" t="s">
        <v>427</v>
      </c>
      <c r="B3" s="3351">
        <v>45069</v>
      </c>
      <c r="C3" s="3352" t="s">
        <v>428</v>
      </c>
      <c r="D3" s="3351">
        <f>B3</f>
        <v>45069</v>
      </c>
      <c r="E3" s="3350"/>
      <c r="F3" s="3350"/>
      <c r="G3" s="3350"/>
      <c r="H3" s="3350"/>
      <c r="I3" s="3350"/>
      <c r="J3" s="2898"/>
      <c r="K3" s="3460"/>
      <c r="L3" s="3461"/>
      <c r="M3" s="3461"/>
      <c r="N3" s="3388"/>
      <c r="O3" s="3251"/>
      <c r="P3" s="3388"/>
      <c r="Q3" s="3388"/>
      <c r="R3" s="3388"/>
      <c r="S3" s="2949"/>
      <c r="T3" s="2948"/>
      <c r="U3" s="2948"/>
      <c r="V3" s="2948"/>
      <c r="W3" s="2948"/>
      <c r="X3" s="2948"/>
      <c r="Y3" s="2948"/>
      <c r="Z3" s="2948"/>
      <c r="AA3" s="2948"/>
      <c r="AB3" s="2948"/>
    </row>
    <row r="4" ht="13.5" spans="1:28">
      <c r="A4" s="2050" t="s">
        <v>429</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2"/>
      <c r="K4" s="3462" t="str">
        <f ca="1">CONCATENATE(B4,"（注册号：",C4,")、",D4,"（注册号：",E4,")")</f>
        <v>（注册号：0)、（注册号：0)</v>
      </c>
      <c r="L4" s="3461"/>
      <c r="M4" s="3461"/>
      <c r="N4" s="3388"/>
      <c r="O4" s="3251"/>
      <c r="P4" s="3388"/>
      <c r="Q4" s="3388"/>
      <c r="R4" s="3388"/>
      <c r="S4" s="2949"/>
      <c r="T4" s="2948"/>
      <c r="U4" s="2948"/>
      <c r="V4" s="2948"/>
      <c r="W4" s="2948"/>
      <c r="X4" s="2948"/>
      <c r="Y4" s="2948"/>
      <c r="Z4" s="2948"/>
      <c r="AA4" s="2948"/>
      <c r="AB4" s="2948"/>
    </row>
    <row r="5" ht="13.5" spans="1:28">
      <c r="A5" s="3356" t="s">
        <v>430</v>
      </c>
      <c r="B5" s="3357"/>
      <c r="C5" s="3358"/>
      <c r="D5" s="3359"/>
      <c r="E5" s="3054"/>
      <c r="F5" s="3054"/>
      <c r="G5" s="3054"/>
      <c r="H5" s="3054"/>
      <c r="I5" s="3054"/>
      <c r="J5" s="2932"/>
      <c r="K5" s="3462" t="str">
        <f ca="1">IF(F4="——","",IF(H4="——",F4&amp;"（注册号："&amp;G4&amp;")",CONCATENATE(F4,"（注册号：",G4,")、",H4,"（注册号：",I4,")")))</f>
        <v>（注册号：0)、（注册号：0)</v>
      </c>
      <c r="L5" s="3461"/>
      <c r="M5" s="3461"/>
      <c r="N5" s="3388"/>
      <c r="O5" s="3251"/>
      <c r="P5" s="3388"/>
      <c r="Q5" s="3388"/>
      <c r="R5" s="3388"/>
      <c r="S5" s="2948"/>
      <c r="T5" s="2948"/>
      <c r="U5" s="2948"/>
      <c r="V5" s="2948"/>
      <c r="W5" s="2948"/>
      <c r="X5" s="2948"/>
      <c r="Y5" s="2948"/>
      <c r="Z5" s="2948"/>
      <c r="AA5" s="2948"/>
      <c r="AB5" s="2948"/>
    </row>
    <row r="6" spans="1:18">
      <c r="A6" s="3360" t="s">
        <v>431</v>
      </c>
      <c r="B6" s="3361"/>
      <c r="C6" s="3362"/>
      <c r="D6" s="3363"/>
      <c r="E6" s="3349"/>
      <c r="F6" s="3054"/>
      <c r="G6" s="3054"/>
      <c r="H6" s="3054"/>
      <c r="I6" s="3054"/>
      <c r="J6" s="2932"/>
      <c r="K6" s="3463" t="str">
        <f>IF(COUNTIF(B6,"*上海银行*"),"上海银行","")</f>
        <v/>
      </c>
      <c r="L6" s="3464"/>
      <c r="M6" s="3464"/>
      <c r="N6" s="2932"/>
      <c r="O6" s="3465"/>
      <c r="P6" s="2932"/>
      <c r="Q6" s="2932"/>
      <c r="R6" s="2932"/>
    </row>
    <row r="7" spans="1:18">
      <c r="A7" s="3360" t="s">
        <v>432</v>
      </c>
      <c r="B7" s="3364"/>
      <c r="C7" s="3362"/>
      <c r="D7" s="3363"/>
      <c r="E7" s="3349"/>
      <c r="F7" s="3054"/>
      <c r="G7" s="3054"/>
      <c r="H7" s="3054"/>
      <c r="I7" s="3054"/>
      <c r="J7" s="2932"/>
      <c r="K7" s="3466"/>
      <c r="L7" s="3464"/>
      <c r="M7" s="3464"/>
      <c r="N7" s="2932"/>
      <c r="O7" s="3465"/>
      <c r="P7" s="2932"/>
      <c r="Q7" s="2932"/>
      <c r="R7" s="2932"/>
    </row>
    <row r="8" spans="1:18">
      <c r="A8" s="3365" t="s">
        <v>433</v>
      </c>
      <c r="B8" s="3366" t="s">
        <v>434</v>
      </c>
      <c r="C8" s="3367"/>
      <c r="D8" s="3368" t="s">
        <v>435</v>
      </c>
      <c r="E8" s="3369" t="s">
        <v>332</v>
      </c>
      <c r="F8" s="3370"/>
      <c r="G8" s="3350"/>
      <c r="H8" s="3350"/>
      <c r="I8" s="3350"/>
      <c r="J8" s="2932"/>
      <c r="K8" s="3467"/>
      <c r="L8" s="3464"/>
      <c r="M8" s="3464"/>
      <c r="N8" s="2932"/>
      <c r="O8" s="3465"/>
      <c r="P8" s="2932"/>
      <c r="Q8" s="2932"/>
      <c r="R8" s="2932"/>
    </row>
    <row r="9" ht="13.5" spans="1:18">
      <c r="A9" s="3371" t="s">
        <v>436</v>
      </c>
      <c r="B9" s="3372" t="s">
        <v>437</v>
      </c>
      <c r="C9" s="3373"/>
      <c r="D9" s="3374"/>
      <c r="E9" s="3372"/>
      <c r="F9" s="3375"/>
      <c r="G9" s="3376"/>
      <c r="H9" s="3376"/>
      <c r="I9" s="3376"/>
      <c r="J9" s="2932"/>
      <c r="K9" s="3466"/>
      <c r="L9" s="3464"/>
      <c r="M9" s="3464"/>
      <c r="N9" s="2932"/>
      <c r="O9" s="3465"/>
      <c r="P9" s="2932"/>
      <c r="Q9" s="2932"/>
      <c r="R9" s="2932"/>
    </row>
    <row r="10" ht="13.5" spans="1:18">
      <c r="A10" s="3377" t="s">
        <v>438</v>
      </c>
      <c r="B10" s="3378" t="s">
        <v>439</v>
      </c>
      <c r="C10" s="3379"/>
      <c r="D10" s="3359"/>
      <c r="E10" s="3380" t="s">
        <v>440</v>
      </c>
      <c r="F10" s="3381"/>
      <c r="G10" s="3382"/>
      <c r="H10" s="3383"/>
      <c r="I10" s="3468"/>
      <c r="J10" s="2932"/>
      <c r="K10" s="3466"/>
      <c r="L10" s="3464"/>
      <c r="M10" s="3464"/>
      <c r="N10" s="2932"/>
      <c r="O10" s="3465"/>
      <c r="P10" s="2932"/>
      <c r="Q10" s="2932"/>
      <c r="R10" s="2932"/>
    </row>
    <row r="11" spans="1:18">
      <c r="A11" s="3384" t="s">
        <v>441</v>
      </c>
      <c r="B11" s="3385" t="s">
        <v>442</v>
      </c>
      <c r="C11" s="3386"/>
      <c r="D11" s="3387"/>
      <c r="E11" s="3388"/>
      <c r="F11" s="3388"/>
      <c r="G11" s="3388"/>
      <c r="H11" s="3388"/>
      <c r="I11" s="3388"/>
      <c r="J11" s="3469"/>
      <c r="K11" s="3470"/>
      <c r="L11" s="3464"/>
      <c r="M11" s="3464"/>
      <c r="N11" s="2932"/>
      <c r="O11" s="3465"/>
      <c r="P11" s="2932"/>
      <c r="Q11" s="2932"/>
      <c r="R11" s="2932"/>
    </row>
    <row r="12" spans="1:30">
      <c r="A12" s="3389" t="s">
        <v>443</v>
      </c>
      <c r="B12" s="2069" t="s">
        <v>444</v>
      </c>
      <c r="C12" s="3390" t="s">
        <v>445</v>
      </c>
      <c r="D12" s="3390" t="s">
        <v>446</v>
      </c>
      <c r="E12" s="3390" t="s">
        <v>447</v>
      </c>
      <c r="F12" s="3390" t="s">
        <v>448</v>
      </c>
      <c r="G12" s="3390" t="s">
        <v>449</v>
      </c>
      <c r="H12" s="3390" t="s">
        <v>450</v>
      </c>
      <c r="I12" s="3471" t="s">
        <v>280</v>
      </c>
      <c r="J12" s="3472"/>
      <c r="K12" s="3464"/>
      <c r="L12" s="3464"/>
      <c r="M12" s="2932"/>
      <c r="N12" s="3465"/>
      <c r="O12" s="2932"/>
      <c r="P12" s="2932"/>
      <c r="Q12" s="2932"/>
      <c r="AD12" s="2948"/>
    </row>
    <row r="13" spans="1:30">
      <c r="A13" s="3391" t="s">
        <v>451</v>
      </c>
      <c r="B13" s="3392" t="s">
        <v>452</v>
      </c>
      <c r="C13" s="3393">
        <v>62094</v>
      </c>
      <c r="D13" s="3393"/>
      <c r="E13" s="3393"/>
      <c r="F13" s="3393"/>
      <c r="G13" s="3393"/>
      <c r="H13" s="3393"/>
      <c r="I13" s="3393"/>
      <c r="J13" s="3472"/>
      <c r="K13" s="3464"/>
      <c r="L13" s="3464"/>
      <c r="M13" s="2932"/>
      <c r="N13" s="3465"/>
      <c r="O13" s="2932"/>
      <c r="P13" s="2932"/>
      <c r="Q13" s="2932"/>
      <c r="AD13" s="2948"/>
    </row>
    <row r="14" spans="1:30">
      <c r="A14" s="2055"/>
      <c r="B14" s="3392" t="s">
        <v>453</v>
      </c>
      <c r="C14" s="3394">
        <v>70</v>
      </c>
      <c r="D14" s="3394"/>
      <c r="E14" s="3394"/>
      <c r="F14" s="3394"/>
      <c r="G14" s="3394"/>
      <c r="H14" s="3394"/>
      <c r="I14" s="3394"/>
      <c r="J14" s="3473"/>
      <c r="K14" s="3464"/>
      <c r="L14" s="3464"/>
      <c r="M14" s="2932"/>
      <c r="N14" s="3465"/>
      <c r="O14" s="2932"/>
      <c r="P14" s="2932"/>
      <c r="Q14" s="2932"/>
      <c r="AD14" s="2948"/>
    </row>
    <row r="15" spans="1:30">
      <c r="A15" s="2062"/>
      <c r="B15" s="3395" t="s">
        <v>454</v>
      </c>
      <c r="C15" s="3396">
        <f>IF(A13="出让",IF(C13="","",ROUNDDOWN(MIN((C13-$D$3)/365,C14),2)),C14)</f>
        <v>46.64</v>
      </c>
      <c r="D15" s="3396" t="str">
        <f>IF(A13="出让",IF(D13="","",ROUNDDOWN(MIN((D13-$D$3)/365,D14),2)),D14)</f>
        <v/>
      </c>
      <c r="E15" s="3396" t="str">
        <f>IF(A13="出让",IF(E13="","",ROUNDDOWN(MIN((E13-$D$3)/365,E14),2)),E14)</f>
        <v/>
      </c>
      <c r="F15" s="3396" t="str">
        <f>IF(A13="出让",IF(F13="","",ROUNDDOWN(MIN((F13-$D$3)/365,F14),2)),F14)</f>
        <v/>
      </c>
      <c r="G15" s="3396" t="str">
        <f>IF(A13="出让",IF(G13="","",ROUNDDOWN(MIN((G13-$D$3)/365,G14),2)),G14)</f>
        <v/>
      </c>
      <c r="H15" s="3396" t="str">
        <f>IF(A13="出让",IF(H13="","",ROUNDDOWN(MIN((H13-$D$3)/365,H14),2)),H14)</f>
        <v/>
      </c>
      <c r="I15" s="3396" t="str">
        <f>IF(A13="出让",IF(I13="","",ROUNDDOWN(MIN((I13-$D$3)/365,I14),2)),I14)</f>
        <v/>
      </c>
      <c r="J15" s="3474"/>
      <c r="K15" s="3475"/>
      <c r="L15" s="3475"/>
      <c r="M15" s="2933"/>
      <c r="N15" s="3475"/>
      <c r="O15" s="2933"/>
      <c r="P15" s="2932"/>
      <c r="Q15" s="2932"/>
      <c r="AD15" s="2948"/>
    </row>
    <row r="16" spans="1:18">
      <c r="A16" s="3380" t="s">
        <v>455</v>
      </c>
      <c r="B16" s="3397"/>
      <c r="C16" s="3398"/>
      <c r="D16" s="3399"/>
      <c r="E16" s="3400" t="s">
        <v>456</v>
      </c>
      <c r="F16" s="3401"/>
      <c r="G16" s="3402"/>
      <c r="H16" s="3402"/>
      <c r="I16" s="3476"/>
      <c r="J16" s="2932"/>
      <c r="K16" s="3477"/>
      <c r="L16" s="3475"/>
      <c r="M16" s="3475"/>
      <c r="N16" s="2933"/>
      <c r="O16" s="3475"/>
      <c r="P16" s="2933"/>
      <c r="Q16" s="2932"/>
      <c r="R16" s="2932"/>
    </row>
    <row r="17" spans="1:22">
      <c r="A17" s="2039" t="s">
        <v>457</v>
      </c>
      <c r="B17" s="2026" t="s">
        <v>458</v>
      </c>
      <c r="C17" s="1051">
        <f>'数据-汇总表'!E3</f>
        <v>211.57</v>
      </c>
      <c r="D17" s="2082" t="s">
        <v>459</v>
      </c>
      <c r="E17" s="3403" t="s">
        <v>460</v>
      </c>
      <c r="F17" s="3404"/>
      <c r="G17" s="3404"/>
      <c r="H17" s="3404"/>
      <c r="I17" s="3478"/>
      <c r="J17" s="2932"/>
      <c r="K17" s="3479"/>
      <c r="L17" s="3475"/>
      <c r="M17" s="3475"/>
      <c r="N17" s="2933"/>
      <c r="O17" s="3475"/>
      <c r="P17" s="2933"/>
      <c r="Q17" s="2932"/>
      <c r="R17" s="2932"/>
      <c r="S17" s="2932"/>
      <c r="T17" s="2932"/>
      <c r="U17" s="2932"/>
      <c r="V17" s="2932"/>
    </row>
    <row r="18" ht="24.75" spans="1:22">
      <c r="A18" s="3405" t="s">
        <v>461</v>
      </c>
      <c r="B18" s="2050" t="s">
        <v>462</v>
      </c>
      <c r="C18" s="3406">
        <f>'数据-汇总表'!D3</f>
        <v>0</v>
      </c>
      <c r="D18" s="2075" t="s">
        <v>459</v>
      </c>
      <c r="E18" s="3407" t="s">
        <v>463</v>
      </c>
      <c r="F18" s="3408"/>
      <c r="G18" s="3408"/>
      <c r="H18" s="3408"/>
      <c r="I18" s="3480"/>
      <c r="J18" s="2932"/>
      <c r="K18" s="3479"/>
      <c r="L18" s="3475"/>
      <c r="M18" s="3475"/>
      <c r="N18" s="2933"/>
      <c r="O18" s="3475"/>
      <c r="P18" s="2933"/>
      <c r="Q18" s="2932"/>
      <c r="R18" s="2932"/>
      <c r="S18" s="2932"/>
      <c r="T18" s="2932"/>
      <c r="U18" s="2932"/>
      <c r="V18" s="2932"/>
    </row>
    <row r="19" ht="37.5" spans="1:22">
      <c r="A19" s="2092" t="s">
        <v>464</v>
      </c>
      <c r="B19" s="2031" t="s">
        <v>465</v>
      </c>
      <c r="C19" s="3409"/>
      <c r="D19" s="3410" t="s">
        <v>466</v>
      </c>
      <c r="E19" s="3411"/>
      <c r="F19" s="3412" t="str">
        <f>IF(AND(C19="是",E19="否"),"是否提供他项权证或相关说明","")</f>
        <v/>
      </c>
      <c r="G19" s="3413"/>
      <c r="H19" s="3054"/>
      <c r="I19" s="3054"/>
      <c r="J19" s="2932"/>
      <c r="K19" s="3466"/>
      <c r="L19" s="3464"/>
      <c r="M19" s="3464"/>
      <c r="N19" s="2933"/>
      <c r="O19" s="3475"/>
      <c r="P19" s="2933"/>
      <c r="Q19" s="2932"/>
      <c r="R19" s="2932"/>
      <c r="S19" s="2932"/>
      <c r="T19" s="2932"/>
      <c r="U19" s="2932"/>
      <c r="V19" s="2932"/>
    </row>
    <row r="20" spans="1:28">
      <c r="A20" s="3414" t="s">
        <v>467</v>
      </c>
      <c r="B20" s="3415" t="s">
        <v>468</v>
      </c>
      <c r="C20" s="3416"/>
      <c r="D20" s="3417" t="s">
        <v>469</v>
      </c>
      <c r="E20" s="3418"/>
      <c r="F20" s="3419" t="s">
        <v>470</v>
      </c>
      <c r="G20" s="3054"/>
      <c r="H20" s="3054"/>
      <c r="I20" s="3054"/>
      <c r="J20" s="2932"/>
      <c r="K20" s="3262" t="s">
        <v>471</v>
      </c>
      <c r="L20" s="21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48"/>
      <c r="X20" s="2948"/>
      <c r="Y20" s="2948"/>
      <c r="Z20" s="2948"/>
      <c r="AA20" s="2948"/>
      <c r="AB20" s="2948"/>
    </row>
    <row r="21" ht="24.75" spans="1:28">
      <c r="A21" s="3414"/>
      <c r="B21" s="3420" t="s">
        <v>472</v>
      </c>
      <c r="C21" s="3421" t="s">
        <v>473</v>
      </c>
      <c r="D21" s="3422" t="s">
        <v>474</v>
      </c>
      <c r="E21" s="3423" t="s">
        <v>473</v>
      </c>
      <c r="F21" s="3424"/>
      <c r="G21" s="3054"/>
      <c r="H21" s="3054"/>
      <c r="I21" s="3054"/>
      <c r="J21" s="2932"/>
      <c r="K21" s="3262"/>
      <c r="L21" s="21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48"/>
      <c r="X21" s="2948"/>
      <c r="Y21" s="2948"/>
      <c r="Z21" s="2948"/>
      <c r="AA21" s="2948"/>
      <c r="AB21" s="2948"/>
    </row>
    <row r="22" ht="24.75" spans="1:28">
      <c r="A22" s="3414"/>
      <c r="B22" s="3425" t="s">
        <v>475</v>
      </c>
      <c r="C22" s="3421" t="s">
        <v>476</v>
      </c>
      <c r="D22" s="3350"/>
      <c r="E22" s="3350"/>
      <c r="F22" s="3350"/>
      <c r="G22" s="3054"/>
      <c r="H22" s="3054"/>
      <c r="I22" s="3054"/>
      <c r="J22" s="2932"/>
      <c r="K22" s="3262"/>
      <c r="L22" s="21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48"/>
      <c r="X22" s="2948"/>
      <c r="Y22" s="2948"/>
      <c r="Z22" s="2948"/>
      <c r="AA22" s="2948"/>
      <c r="AB22" s="2948"/>
    </row>
    <row r="23" spans="1:22">
      <c r="A23" s="3426" t="s">
        <v>477</v>
      </c>
      <c r="B23" s="2923" t="s">
        <v>478</v>
      </c>
      <c r="C23" s="3427"/>
      <c r="D23" s="3428" t="s">
        <v>478</v>
      </c>
      <c r="E23" s="3429"/>
      <c r="F23" s="3350"/>
      <c r="G23" s="3054"/>
      <c r="H23" s="3054"/>
      <c r="I23" s="3054"/>
      <c r="J23" s="2932"/>
      <c r="K23" s="3483"/>
      <c r="L23" s="2191"/>
      <c r="M23" s="3464"/>
      <c r="N23" s="2933"/>
      <c r="O23" s="3475"/>
      <c r="P23" s="2933"/>
      <c r="Q23" s="2932"/>
      <c r="R23" s="2932"/>
      <c r="S23" s="2932"/>
      <c r="T23" s="2932"/>
      <c r="U23" s="2932"/>
      <c r="V23" s="2932"/>
    </row>
    <row r="24" spans="1:22">
      <c r="A24" s="3426"/>
      <c r="B24" s="2923" t="s">
        <v>479</v>
      </c>
      <c r="C24" s="3430"/>
      <c r="D24" s="3426" t="s">
        <v>479</v>
      </c>
      <c r="E24" s="3431"/>
      <c r="F24" s="3350"/>
      <c r="G24" s="3054"/>
      <c r="H24" s="3054"/>
      <c r="I24" s="3054"/>
      <c r="J24" s="2932"/>
      <c r="K24" s="3483"/>
      <c r="L24" s="2191"/>
      <c r="M24" s="3464"/>
      <c r="N24" s="2933"/>
      <c r="O24" s="3475"/>
      <c r="P24" s="2933"/>
      <c r="Q24" s="2932"/>
      <c r="R24" s="2932"/>
      <c r="S24" s="2932"/>
      <c r="T24" s="2932"/>
      <c r="U24" s="2932"/>
      <c r="V24" s="2932"/>
    </row>
    <row r="25" spans="1:22">
      <c r="A25" s="3426"/>
      <c r="B25" s="2923" t="s">
        <v>480</v>
      </c>
      <c r="C25" s="3430"/>
      <c r="D25" s="3426" t="s">
        <v>480</v>
      </c>
      <c r="E25" s="3431"/>
      <c r="F25" s="3350"/>
      <c r="G25" s="3054"/>
      <c r="H25" s="3054"/>
      <c r="I25" s="3054"/>
      <c r="J25" s="2932"/>
      <c r="K25" s="3466"/>
      <c r="L25" s="3464"/>
      <c r="M25" s="3464"/>
      <c r="N25" s="2933"/>
      <c r="O25" s="3475"/>
      <c r="P25" s="2933"/>
      <c r="Q25" s="2932"/>
      <c r="R25" s="2932"/>
      <c r="S25" s="2932"/>
      <c r="T25" s="2932"/>
      <c r="U25" s="2932"/>
      <c r="V25" s="2932"/>
    </row>
    <row r="26" ht="13.5" spans="1:22">
      <c r="A26" s="3432"/>
      <c r="B26" s="3433" t="s">
        <v>481</v>
      </c>
      <c r="C26" s="3434"/>
      <c r="D26" s="3432" t="s">
        <v>481</v>
      </c>
      <c r="E26" s="3435"/>
      <c r="F26" s="3376"/>
      <c r="G26" s="3376"/>
      <c r="H26" s="3376"/>
      <c r="I26" s="3376"/>
      <c r="J26" s="2932"/>
      <c r="K26" s="3466"/>
      <c r="L26" s="3464"/>
      <c r="M26" s="3464"/>
      <c r="N26" s="2933"/>
      <c r="O26" s="3475"/>
      <c r="P26" s="2933"/>
      <c r="Q26" s="2932"/>
      <c r="R26" s="2932"/>
      <c r="S26" s="2932"/>
      <c r="T26" s="2932"/>
      <c r="U26" s="2932"/>
      <c r="V26" s="2932"/>
    </row>
    <row r="27" ht="13.5" spans="1:22">
      <c r="A27" s="2055" t="s">
        <v>482</v>
      </c>
      <c r="B27" s="2062" t="s">
        <v>483</v>
      </c>
      <c r="C27" s="3436"/>
      <c r="D27" s="3437"/>
      <c r="E27" s="3054"/>
      <c r="F27" s="3054"/>
      <c r="G27" s="3054"/>
      <c r="H27" s="3054"/>
      <c r="I27" s="3054"/>
      <c r="J27" s="2932"/>
      <c r="K27" s="3477"/>
      <c r="L27" s="3475"/>
      <c r="M27" s="3475"/>
      <c r="N27" s="2933"/>
      <c r="O27" s="3475"/>
      <c r="P27" s="2933"/>
      <c r="Q27" s="2932"/>
      <c r="R27" s="2932"/>
      <c r="S27" s="2932"/>
      <c r="T27" s="2932"/>
      <c r="U27" s="2932"/>
      <c r="V27" s="2932"/>
    </row>
    <row r="28" spans="1:22">
      <c r="A28" s="2055"/>
      <c r="B28" s="2026" t="s">
        <v>484</v>
      </c>
      <c r="C28" s="3438"/>
      <c r="D28" s="3439"/>
      <c r="E28" s="3054"/>
      <c r="F28" s="3054"/>
      <c r="G28" s="3054"/>
      <c r="H28" s="3054"/>
      <c r="I28" s="3054"/>
      <c r="J28" s="2932"/>
      <c r="K28" s="3466"/>
      <c r="L28" s="3464"/>
      <c r="M28" s="3464"/>
      <c r="N28" s="2932"/>
      <c r="O28" s="3465"/>
      <c r="P28" s="2932"/>
      <c r="Q28" s="2932"/>
      <c r="R28" s="2932"/>
      <c r="S28" s="2932"/>
      <c r="T28" s="2932"/>
      <c r="U28" s="2932"/>
      <c r="V28" s="2932"/>
    </row>
    <row r="29" spans="1:22">
      <c r="A29" s="2055"/>
      <c r="B29" s="2026" t="s">
        <v>485</v>
      </c>
      <c r="C29" s="3440"/>
      <c r="D29" s="3441"/>
      <c r="E29" s="3054"/>
      <c r="F29" s="3054"/>
      <c r="G29" s="3054"/>
      <c r="H29" s="3054"/>
      <c r="I29" s="3054"/>
      <c r="J29" s="2932"/>
      <c r="K29" s="3466"/>
      <c r="L29" s="3464"/>
      <c r="M29" s="3464"/>
      <c r="N29" s="2932"/>
      <c r="O29" s="3465"/>
      <c r="P29" s="2932"/>
      <c r="Q29" s="2932"/>
      <c r="R29" s="2932"/>
      <c r="S29" s="2932"/>
      <c r="T29" s="2932"/>
      <c r="U29" s="2932"/>
      <c r="V29" s="2932"/>
    </row>
    <row r="30" spans="1:22">
      <c r="A30" s="2062"/>
      <c r="B30" s="2026" t="s">
        <v>486</v>
      </c>
      <c r="C30" s="3442"/>
      <c r="D30" s="3443"/>
      <c r="E30" s="3054"/>
      <c r="F30" s="3054"/>
      <c r="G30" s="3054"/>
      <c r="H30" s="3054"/>
      <c r="I30" s="3054"/>
      <c r="J30" s="2932"/>
      <c r="K30" s="3466"/>
      <c r="L30" s="3464"/>
      <c r="M30" s="3464"/>
      <c r="N30" s="2932"/>
      <c r="O30" s="3465"/>
      <c r="P30" s="2932"/>
      <c r="Q30" s="2932"/>
      <c r="R30" s="2932"/>
      <c r="S30" s="2932"/>
      <c r="T30" s="2932"/>
      <c r="U30" s="2932"/>
      <c r="V30" s="2932"/>
    </row>
    <row r="31" spans="1:22">
      <c r="A31" s="3444" t="s">
        <v>487</v>
      </c>
      <c r="B31" s="3445"/>
      <c r="C31" s="2182" t="str">
        <f>IF(B31="现房","成新及维护状况正常否",IF(B31="在建","工程状态是否正常",IF(B31="土地","是否闲置","-")))</f>
        <v>-</v>
      </c>
      <c r="D31" s="2389"/>
      <c r="E31" s="3446"/>
      <c r="F31" s="3054"/>
      <c r="G31" s="3054"/>
      <c r="H31" s="3054"/>
      <c r="I31" s="3054"/>
      <c r="J31" s="2932"/>
      <c r="K31" s="3463"/>
      <c r="L31" s="3464"/>
      <c r="M31" s="3464"/>
      <c r="N31" s="2932"/>
      <c r="O31" s="3465"/>
      <c r="P31" s="2932"/>
      <c r="Q31" s="2932"/>
      <c r="R31" s="2932"/>
      <c r="S31" s="2932"/>
      <c r="T31" s="2932"/>
      <c r="U31" s="2932"/>
      <c r="V31" s="2932"/>
    </row>
    <row r="32" spans="1:22">
      <c r="A32" s="2634"/>
      <c r="B32" s="3445"/>
      <c r="C32" s="2182" t="str">
        <f>IF(B32="现房","成新及维护状况是否正常",IF(B32="在建","工程状态是否正常",IF(B32="土地","是否闲置","-")))</f>
        <v>-</v>
      </c>
      <c r="D32" s="2389"/>
      <c r="E32" s="3446"/>
      <c r="F32" s="3054"/>
      <c r="G32" s="3054"/>
      <c r="H32" s="3054"/>
      <c r="I32" s="3054"/>
      <c r="J32" s="2932"/>
      <c r="K32" s="3466"/>
      <c r="L32" s="3464"/>
      <c r="M32" s="3464"/>
      <c r="N32" s="2932"/>
      <c r="O32" s="3465"/>
      <c r="P32" s="2932"/>
      <c r="Q32" s="2932"/>
      <c r="R32" s="2932"/>
      <c r="S32" s="2932"/>
      <c r="T32" s="2932"/>
      <c r="U32" s="2932"/>
      <c r="V32" s="2932"/>
    </row>
    <row r="33" spans="1:22">
      <c r="A33" s="2634"/>
      <c r="B33" s="3447"/>
      <c r="C33" s="2633" t="str">
        <f>IF(B33="现房","成新及维护状况是否正常",IF(B33="在建","工程状态是否正常",IF(B33="土地","是否闲置","-")))</f>
        <v>-</v>
      </c>
      <c r="D33" s="2037"/>
      <c r="E33" s="3448"/>
      <c r="F33" s="3054"/>
      <c r="G33" s="3054"/>
      <c r="H33" s="3054"/>
      <c r="I33" s="3054"/>
      <c r="J33" s="2932"/>
      <c r="K33" s="3466"/>
      <c r="L33" s="3464"/>
      <c r="M33" s="3464"/>
      <c r="N33" s="2932"/>
      <c r="O33" s="3465"/>
      <c r="P33" s="2932"/>
      <c r="Q33" s="2932"/>
      <c r="R33" s="2932"/>
      <c r="S33" s="2932"/>
      <c r="T33" s="2932"/>
      <c r="U33" s="2932"/>
      <c r="V33" s="2932"/>
    </row>
    <row r="34" spans="1:22">
      <c r="A34" s="2026" t="s">
        <v>488</v>
      </c>
      <c r="B34" s="608"/>
      <c r="C34" s="608"/>
      <c r="D34" s="608"/>
      <c r="E34" s="608"/>
      <c r="F34" s="608"/>
      <c r="G34" s="608"/>
      <c r="H34" s="608"/>
      <c r="I34" s="3054"/>
      <c r="J34" s="2932"/>
      <c r="K34" s="1051">
        <f>COUNTIF(B34:H34,"——")</f>
        <v>0</v>
      </c>
      <c r="L34" s="2069" t="s">
        <v>489</v>
      </c>
      <c r="M34" s="2069" t="s">
        <v>490</v>
      </c>
      <c r="N34" s="2069" t="s">
        <v>491</v>
      </c>
      <c r="O34" s="2069" t="s">
        <v>492</v>
      </c>
      <c r="P34" s="2069" t="s">
        <v>493</v>
      </c>
      <c r="Q34" s="2069" t="s">
        <v>494</v>
      </c>
      <c r="R34" s="2069" t="s">
        <v>495</v>
      </c>
      <c r="S34" s="1051" t="s">
        <v>496</v>
      </c>
      <c r="T34" s="2069" t="str">
        <f>NUMBERSTRING(7-K34,1)&amp;"通"</f>
        <v>七通</v>
      </c>
      <c r="U34" s="2932"/>
      <c r="V34" s="2932"/>
    </row>
    <row r="35" spans="1:22">
      <c r="A35" s="3449"/>
      <c r="B35" s="1109" t="s">
        <v>497</v>
      </c>
      <c r="C35" s="1109"/>
      <c r="D35" s="1109"/>
      <c r="E35" s="1109"/>
      <c r="F35" s="1109">
        <f>C10</f>
        <v>0</v>
      </c>
      <c r="G35" s="3054"/>
      <c r="H35" s="3054"/>
      <c r="I35" s="3054"/>
      <c r="J35" s="2932"/>
      <c r="K35" s="2069"/>
      <c r="L35" s="2069">
        <f>B34</f>
        <v>0</v>
      </c>
      <c r="M35" s="2071" t="str">
        <f>B34&amp;"、"&amp;C34</f>
        <v>、</v>
      </c>
      <c r="N35" s="2071" t="str">
        <f>B34&amp;"、"&amp;C34&amp;"、"&amp;D34</f>
        <v>、、</v>
      </c>
      <c r="O35" s="2071" t="str">
        <f>B34&amp;"、"&amp;C34&amp;"、"&amp;D34&amp;"、"&amp;E34</f>
        <v>、、、</v>
      </c>
      <c r="P35" s="2071" t="str">
        <f>B34&amp;"、"&amp;C34&amp;"、"&amp;D34&amp;"、"&amp;E34&amp;"、"&amp;F34</f>
        <v>、、、、</v>
      </c>
      <c r="Q35" s="2071" t="str">
        <f>B34&amp;"、"&amp;C34&amp;"、"&amp;D34&amp;"、"&amp;E34&amp;"、"&amp;F34&amp;"、"&amp;G34</f>
        <v>、、、、、</v>
      </c>
      <c r="R35" s="2071" t="str">
        <f>B34&amp;"、"&amp;C34&amp;"、"&amp;D34&amp;"、"&amp;E34&amp;"、"&amp;F34&amp;"、"&amp;G34&amp;"、"&amp;H34</f>
        <v>、、、、、、</v>
      </c>
      <c r="S35" s="1051"/>
      <c r="T35" s="2071" t="str">
        <f>IF(T34="一通",L35,IF(T34="二通",M35,IF(T34="三通",N35,IF(T34="四通",O35,IF(T34="五通",P35,IF(T34="六通",Q35,R35))))))</f>
        <v>、、、、、、</v>
      </c>
      <c r="U35" s="2932"/>
      <c r="V35" s="2932"/>
    </row>
    <row r="36" spans="1:22">
      <c r="A36" s="3450"/>
      <c r="B36" s="1109" t="s">
        <v>446</v>
      </c>
      <c r="C36" s="1109" t="s">
        <v>447</v>
      </c>
      <c r="D36" s="1109" t="s">
        <v>445</v>
      </c>
      <c r="E36" s="1109" t="s">
        <v>450</v>
      </c>
      <c r="F36" s="3451" t="s">
        <v>280</v>
      </c>
      <c r="G36" s="3054"/>
      <c r="H36" s="3054"/>
      <c r="I36" s="3054"/>
      <c r="J36" s="2932"/>
      <c r="K36" s="3466"/>
      <c r="L36" s="3464"/>
      <c r="M36" s="3464"/>
      <c r="N36" s="2932"/>
      <c r="O36" s="3465"/>
      <c r="P36" s="2932"/>
      <c r="Q36" s="2932"/>
      <c r="R36" s="2932"/>
      <c r="S36" s="2932"/>
      <c r="T36" s="2932"/>
      <c r="U36" s="2932"/>
      <c r="V36" s="2932"/>
    </row>
    <row r="37" spans="1:22">
      <c r="A37" s="3452" t="s">
        <v>498</v>
      </c>
      <c r="B37" s="3453"/>
      <c r="C37" s="3453"/>
      <c r="D37" s="3453"/>
      <c r="E37" s="3453"/>
      <c r="F37" s="3453"/>
      <c r="G37" s="3054"/>
      <c r="H37" s="3054"/>
      <c r="I37" s="3054"/>
      <c r="J37" s="2932"/>
      <c r="K37" s="3466"/>
      <c r="L37" s="3464"/>
      <c r="M37" s="3464"/>
      <c r="N37" s="2932"/>
      <c r="O37" s="3465"/>
      <c r="P37" s="2932"/>
      <c r="Q37" s="2932"/>
      <c r="R37" s="2932"/>
      <c r="S37" s="2932"/>
      <c r="T37" s="2932"/>
      <c r="U37" s="2932"/>
      <c r="V37" s="2932"/>
    </row>
    <row r="38" ht="13.5" spans="1:22">
      <c r="A38" s="3454" t="s">
        <v>499</v>
      </c>
      <c r="B38" s="3455"/>
      <c r="C38" s="3455"/>
      <c r="D38" s="3455"/>
      <c r="E38" s="3455"/>
      <c r="F38" s="3455"/>
      <c r="G38" s="3376"/>
      <c r="H38" s="3376"/>
      <c r="I38" s="3376"/>
      <c r="J38" s="2932"/>
      <c r="K38" s="3466"/>
      <c r="L38" s="3464"/>
      <c r="M38" s="3464"/>
      <c r="N38" s="2932"/>
      <c r="O38" s="3465"/>
      <c r="P38" s="2932"/>
      <c r="Q38" s="2932"/>
      <c r="R38" s="2932"/>
      <c r="S38" s="2932"/>
      <c r="T38" s="2932"/>
      <c r="U38" s="2932"/>
      <c r="V38" s="2932"/>
    </row>
    <row r="39" s="3339" customFormat="1" ht="14.25" spans="1:30">
      <c r="A39" s="3456" t="s">
        <v>500</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659"/>
      <c r="J40" s="2933"/>
      <c r="K40" s="3463"/>
      <c r="L40" s="3475"/>
      <c r="M40" s="3475"/>
      <c r="N40" s="2933"/>
      <c r="O40" s="3475"/>
      <c r="P40" s="2932"/>
      <c r="Q40" s="2932"/>
      <c r="R40" s="2932"/>
      <c r="S40" s="2932"/>
      <c r="T40" s="2932"/>
      <c r="U40" s="2932"/>
      <c r="V40" s="2932"/>
    </row>
    <row r="41" spans="1:22">
      <c r="A41" s="3458" t="s">
        <v>501</v>
      </c>
      <c r="B41" s="2524"/>
      <c r="C41" s="2389"/>
      <c r="D41" s="3388"/>
      <c r="E41" s="3388"/>
      <c r="F41" s="3388"/>
      <c r="G41" s="3388"/>
      <c r="H41" s="3388"/>
      <c r="I41" s="3251"/>
      <c r="J41" s="2932"/>
      <c r="K41" s="3466"/>
      <c r="L41" s="3464"/>
      <c r="M41" s="3464"/>
      <c r="N41" s="2932"/>
      <c r="O41" s="3465"/>
      <c r="P41" s="2932"/>
      <c r="Q41" s="2932"/>
      <c r="R41" s="2932"/>
      <c r="S41" s="2932"/>
      <c r="T41" s="2932"/>
      <c r="U41" s="2932"/>
      <c r="V41" s="2932"/>
    </row>
    <row r="42" ht="24.75" spans="1:22">
      <c r="A42" s="2069" t="s">
        <v>502</v>
      </c>
      <c r="B42" s="1051" t="s">
        <v>503</v>
      </c>
      <c r="C42" s="1051" t="s">
        <v>504</v>
      </c>
      <c r="D42" s="1051" t="s">
        <v>505</v>
      </c>
      <c r="E42" s="1051" t="s">
        <v>506</v>
      </c>
      <c r="F42" s="1051" t="s">
        <v>507</v>
      </c>
      <c r="G42" s="1051" t="s">
        <v>508</v>
      </c>
      <c r="H42" s="1051" t="s">
        <v>509</v>
      </c>
      <c r="I42" s="1051" t="s">
        <v>510</v>
      </c>
      <c r="J42" s="3487" t="s">
        <v>511</v>
      </c>
      <c r="K42" s="3488" t="s">
        <v>512</v>
      </c>
      <c r="L42" s="3488" t="s">
        <v>513</v>
      </c>
      <c r="M42" s="3488" t="s">
        <v>514</v>
      </c>
      <c r="N42" s="3489" t="s">
        <v>515</v>
      </c>
      <c r="O42" s="3489" t="s">
        <v>516</v>
      </c>
      <c r="P42" s="3489" t="s">
        <v>517</v>
      </c>
      <c r="Q42" s="3494" t="s">
        <v>518</v>
      </c>
      <c r="R42" s="3494" t="s">
        <v>519</v>
      </c>
      <c r="S42" s="2932"/>
      <c r="T42" s="2932"/>
      <c r="U42" s="2932"/>
      <c r="V42" s="2932"/>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2"/>
      <c r="T43" s="2932"/>
      <c r="U43" s="2932"/>
      <c r="V43" s="2932"/>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2"/>
      <c r="T44" s="2932"/>
      <c r="U44" s="2932"/>
      <c r="V44" s="2932"/>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2"/>
      <c r="T45" s="2932"/>
      <c r="U45" s="2932"/>
      <c r="V45" s="2932"/>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2"/>
      <c r="T46" s="2932"/>
      <c r="U46" s="2932"/>
      <c r="V46" s="2932"/>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2"/>
      <c r="T47" s="2932"/>
      <c r="U47" s="2932"/>
      <c r="V47" s="2932"/>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2"/>
      <c r="T48" s="2932"/>
      <c r="U48" s="2932"/>
      <c r="V48" s="2932"/>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2"/>
      <c r="T49" s="2932"/>
      <c r="U49" s="2932"/>
      <c r="V49" s="2932"/>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2"/>
      <c r="T50" s="2932"/>
      <c r="U50" s="2932"/>
      <c r="V50" s="2932"/>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B10">
      <formula1>"北京市,其他："</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9" sqref="K19"/>
    </sheetView>
  </sheetViews>
  <sheetFormatPr defaultColWidth="8.875" defaultRowHeight="14.25"/>
  <cols>
    <col min="1" max="1" width="10.625" style="3248" customWidth="1"/>
    <col min="2" max="2" width="11" style="3248" customWidth="1"/>
    <col min="3" max="3" width="10.375" style="3248" customWidth="1"/>
    <col min="4" max="4" width="9.125" style="3248" customWidth="1"/>
    <col min="5" max="6" width="10" style="3246" customWidth="1"/>
    <col min="7" max="8" width="10" style="3248" customWidth="1"/>
    <col min="9" max="9" width="10.625" style="3248" customWidth="1"/>
    <col min="10" max="10" width="9.5" style="3248" customWidth="1"/>
    <col min="11" max="11" width="11" style="3248" customWidth="1"/>
    <col min="12" max="14" width="9.5" style="3248" customWidth="1"/>
    <col min="15" max="15" width="9.875" style="3248" customWidth="1"/>
    <col min="16" max="16" width="9.75" style="3248" customWidth="1"/>
    <col min="17" max="17" width="9.375" style="3248" customWidth="1"/>
    <col min="18" max="18" width="9.25" style="3248" customWidth="1"/>
    <col min="19" max="19" width="10.875" style="3248" customWidth="1"/>
    <col min="20" max="21" width="10.75" style="3248" customWidth="1"/>
    <col min="22" max="22" width="10.875" style="3248" customWidth="1"/>
    <col min="23" max="27" width="10.75" style="3248" customWidth="1"/>
    <col min="28" max="28" width="10.875" style="3248" customWidth="1"/>
    <col min="29" max="29" width="11" style="3248" customWidth="1"/>
    <col min="30" max="30" width="10" style="3248" customWidth="1"/>
    <col min="31" max="31" width="9.75" style="3248" customWidth="1"/>
    <col min="32" max="46" width="9.5" style="3248" customWidth="1"/>
    <col min="47" max="47" width="18.125" style="3248" customWidth="1"/>
    <col min="48" max="50" width="9.75" style="3248" customWidth="1"/>
    <col min="51" max="55" width="10.5" style="3248" customWidth="1"/>
    <col min="56" max="56" width="9.5" style="3248" customWidth="1"/>
    <col min="57" max="63" width="9.125" style="3248" customWidth="1"/>
    <col min="64" max="64" width="9.5" style="3248" customWidth="1"/>
    <col min="65" max="65" width="9.125" style="3248" customWidth="1"/>
    <col min="66" max="66" width="9.5" style="3248" customWidth="1"/>
    <col min="67" max="69" width="9.125" style="3248" customWidth="1"/>
    <col min="70" max="70" width="9.5" style="3248" customWidth="1"/>
    <col min="71" max="71" width="9" style="3248" customWidth="1"/>
    <col min="72" max="72" width="9.125" style="3248" customWidth="1"/>
    <col min="73" max="16384" width="8.875" style="3248"/>
  </cols>
  <sheetData>
    <row r="1" ht="20.25" spans="1:72">
      <c r="A1" s="3249" t="s">
        <v>520</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521</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51" t="s">
        <v>462</v>
      </c>
      <c r="B2" s="1051" t="s">
        <v>458</v>
      </c>
      <c r="C2" s="1051" t="s">
        <v>522</v>
      </c>
      <c r="D2" s="3251"/>
      <c r="E2" s="2607"/>
      <c r="F2" s="2659"/>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523</v>
      </c>
      <c r="AZ2" s="3313" t="s">
        <v>524</v>
      </c>
      <c r="BA2" s="1051" t="s">
        <v>525</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2.75" spans="1:72">
      <c r="A3" s="3252"/>
      <c r="B3" s="3253">
        <f>IF(C3="否",G5-AT5,G5)</f>
        <v>211.57</v>
      </c>
      <c r="C3" s="3254" t="s">
        <v>526</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2.75" spans="1:72">
      <c r="A5" s="2182" t="s">
        <v>527</v>
      </c>
      <c r="B5" s="2520"/>
      <c r="C5" s="2520"/>
      <c r="D5" s="2673"/>
      <c r="E5" s="3258" t="s">
        <v>124</v>
      </c>
      <c r="F5" s="3258">
        <f>SUM(F13:F587)</f>
        <v>0</v>
      </c>
      <c r="G5" s="3258">
        <f>SUM(G13:G587)</f>
        <v>211.57</v>
      </c>
      <c r="H5" s="3258">
        <f t="shared" ref="H5:AT5" si="0">SUM(H13:H656)</f>
        <v>211.57</v>
      </c>
      <c r="I5" s="3258">
        <f t="shared" si="0"/>
        <v>211.57</v>
      </c>
      <c r="J5" s="3258">
        <f t="shared" si="0"/>
        <v>0</v>
      </c>
      <c r="K5" s="3258">
        <f t="shared" si="0"/>
        <v>0</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519"/>
      <c r="AV5" s="2182" t="s">
        <v>527</v>
      </c>
      <c r="AW5" s="2520"/>
      <c r="AX5" s="2520"/>
      <c r="AY5" s="3317" t="s">
        <v>124</v>
      </c>
      <c r="AZ5" s="3318">
        <f t="shared" ref="AZ5:BT5" si="1">SUM(AZ13:AZ656)</f>
        <v>211.57</v>
      </c>
      <c r="BA5" s="3318">
        <f t="shared" si="1"/>
        <v>211.57</v>
      </c>
      <c r="BB5" s="3318">
        <f t="shared" si="1"/>
        <v>211.57</v>
      </c>
      <c r="BC5" s="3318">
        <f t="shared" si="1"/>
        <v>0</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2.75" spans="1:72">
      <c r="A6" s="2182" t="s">
        <v>528</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182" t="s">
        <v>528</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4.75" spans="1:72">
      <c r="A7" s="3262" t="s">
        <v>529</v>
      </c>
      <c r="B7" s="3262" t="s">
        <v>530</v>
      </c>
      <c r="C7" s="3262" t="s">
        <v>503</v>
      </c>
      <c r="D7" s="3262" t="s">
        <v>531</v>
      </c>
      <c r="E7" s="3262" t="s">
        <v>528</v>
      </c>
      <c r="F7" s="3262" t="s">
        <v>532</v>
      </c>
      <c r="G7" s="2633" t="s">
        <v>533</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673"/>
      <c r="AU7" s="3263" t="s">
        <v>534</v>
      </c>
      <c r="AV7" s="3304" t="s">
        <v>529</v>
      </c>
      <c r="AW7" s="2659" t="s">
        <v>530</v>
      </c>
      <c r="AX7" s="3304" t="s">
        <v>503</v>
      </c>
      <c r="AY7" s="2520" t="s">
        <v>535</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1" customFormat="1" ht="24" spans="1:72">
      <c r="A8" s="3264"/>
      <c r="B8" s="3264"/>
      <c r="C8" s="3264"/>
      <c r="D8" s="3264"/>
      <c r="E8" s="3264"/>
      <c r="F8" s="3264"/>
      <c r="G8" s="3265" t="s">
        <v>536</v>
      </c>
      <c r="H8" s="3266" t="s">
        <v>537</v>
      </c>
      <c r="I8" s="3284"/>
      <c r="J8" s="1050"/>
      <c r="K8" s="1050"/>
      <c r="L8" s="1050"/>
      <c r="M8" s="1050"/>
      <c r="N8" s="1050"/>
      <c r="O8" s="1050"/>
      <c r="P8" s="1050"/>
      <c r="Q8" s="1050"/>
      <c r="R8" s="1050"/>
      <c r="S8" s="1050"/>
      <c r="T8" s="1050"/>
      <c r="U8" s="1050"/>
      <c r="V8" s="3291"/>
      <c r="W8" s="1050"/>
      <c r="X8" s="1050"/>
      <c r="Y8" s="1050"/>
      <c r="Z8" s="1050"/>
      <c r="AA8" s="3291"/>
      <c r="AB8" s="3293"/>
      <c r="AC8" s="2438" t="s">
        <v>538</v>
      </c>
      <c r="AD8" s="3294"/>
      <c r="AE8" s="3295"/>
      <c r="AF8" s="1050"/>
      <c r="AG8" s="1050"/>
      <c r="AH8" s="1050"/>
      <c r="AI8" s="1050"/>
      <c r="AJ8" s="1050"/>
      <c r="AK8" s="1050"/>
      <c r="AL8" s="1050"/>
      <c r="AM8" s="1050"/>
      <c r="AN8" s="1050"/>
      <c r="AO8" s="1050"/>
      <c r="AP8" s="1050"/>
      <c r="AQ8" s="1050"/>
      <c r="AR8" s="1050"/>
      <c r="AS8" s="1050"/>
      <c r="AT8" s="2018" t="s">
        <v>539</v>
      </c>
      <c r="AU8" s="3264" t="s">
        <v>540</v>
      </c>
      <c r="AV8" s="2018"/>
      <c r="AW8" s="2607"/>
      <c r="AX8" s="2018"/>
      <c r="AY8" s="2659" t="s">
        <v>528</v>
      </c>
      <c r="AZ8" s="1049" t="s">
        <v>458</v>
      </c>
      <c r="BA8" s="1050"/>
      <c r="BB8" s="1050"/>
      <c r="BC8" s="1050"/>
      <c r="BD8" s="1050"/>
      <c r="BE8" s="1050"/>
      <c r="BF8" s="1050"/>
      <c r="BG8" s="1050"/>
      <c r="BH8" s="1050"/>
      <c r="BI8" s="1050"/>
      <c r="BJ8" s="1050"/>
      <c r="BK8" s="1050"/>
      <c r="BL8" s="1050"/>
      <c r="BM8" s="1050"/>
      <c r="BN8" s="1050"/>
      <c r="BO8" s="1050"/>
      <c r="BP8" s="1050"/>
      <c r="BQ8" s="1050"/>
      <c r="BR8" s="1050"/>
      <c r="BS8" s="1050"/>
      <c r="BT8" s="2067"/>
    </row>
    <row r="9" s="2951" customFormat="1" ht="12.75" spans="1:72">
      <c r="A9" s="3264"/>
      <c r="B9" s="3264"/>
      <c r="C9" s="3264"/>
      <c r="D9" s="3264"/>
      <c r="E9" s="3264"/>
      <c r="F9" s="3264"/>
      <c r="G9" s="2018"/>
      <c r="H9" s="3267" t="s">
        <v>541</v>
      </c>
      <c r="I9" s="3285" t="s">
        <v>542</v>
      </c>
      <c r="J9" s="2438"/>
      <c r="K9" s="3285"/>
      <c r="L9" s="2438"/>
      <c r="M9" s="3285"/>
      <c r="N9" s="2438"/>
      <c r="O9" s="3285"/>
      <c r="P9" s="2438"/>
      <c r="Q9" s="3285"/>
      <c r="R9" s="2438"/>
      <c r="S9" s="3285"/>
      <c r="T9" s="2438"/>
      <c r="U9" s="3285"/>
      <c r="V9" s="2438"/>
      <c r="W9" s="3285"/>
      <c r="X9" s="3292"/>
      <c r="Y9" s="3285"/>
      <c r="Z9" s="2438"/>
      <c r="AA9" s="3285"/>
      <c r="AB9" s="2438"/>
      <c r="AC9" s="3265" t="s">
        <v>541</v>
      </c>
      <c r="AD9" s="2182" t="s">
        <v>543</v>
      </c>
      <c r="AE9" s="2032"/>
      <c r="AF9" s="2182" t="s">
        <v>544</v>
      </c>
      <c r="AG9" s="2032"/>
      <c r="AH9" s="2182" t="s">
        <v>543</v>
      </c>
      <c r="AI9" s="2032"/>
      <c r="AJ9" s="2182" t="s">
        <v>544</v>
      </c>
      <c r="AK9" s="2032"/>
      <c r="AL9" s="2182" t="s">
        <v>543</v>
      </c>
      <c r="AM9" s="2032"/>
      <c r="AN9" s="2182" t="s">
        <v>544</v>
      </c>
      <c r="AO9" s="2032"/>
      <c r="AP9" s="2182" t="s">
        <v>543</v>
      </c>
      <c r="AQ9" s="2032"/>
      <c r="AR9" s="2182" t="s">
        <v>544</v>
      </c>
      <c r="AS9" s="3305"/>
      <c r="AT9" s="3264"/>
      <c r="AU9" s="3264" t="s">
        <v>545</v>
      </c>
      <c r="AV9" s="2018"/>
      <c r="AW9" s="2607"/>
      <c r="AX9" s="2018"/>
      <c r="AY9" s="3268"/>
      <c r="AZ9" s="3268" t="s">
        <v>536</v>
      </c>
      <c r="BA9" s="3320" t="s">
        <v>546</v>
      </c>
      <c r="BB9" s="3321"/>
      <c r="BC9" s="2079"/>
      <c r="BD9" s="2079"/>
      <c r="BE9" s="2079"/>
      <c r="BF9" s="2079"/>
      <c r="BG9" s="2079"/>
      <c r="BH9" s="2079"/>
      <c r="BI9" s="2079"/>
      <c r="BJ9" s="2079"/>
      <c r="BK9" s="3326"/>
      <c r="BL9" s="2182" t="s">
        <v>547</v>
      </c>
      <c r="BM9" s="1050"/>
      <c r="BN9" s="3284"/>
      <c r="BO9" s="1050"/>
      <c r="BP9" s="1050"/>
      <c r="BQ9" s="1050"/>
      <c r="BR9" s="1050"/>
      <c r="BS9" s="1050"/>
      <c r="BT9" s="2067"/>
    </row>
    <row r="10" s="2951" customFormat="1" ht="12.75" spans="1:72">
      <c r="A10" s="3264"/>
      <c r="B10" s="3264"/>
      <c r="C10" s="3264"/>
      <c r="D10" s="3264"/>
      <c r="E10" s="3264"/>
      <c r="F10" s="3264"/>
      <c r="G10" s="2018"/>
      <c r="H10" s="3268"/>
      <c r="I10" s="3285" t="s">
        <v>412</v>
      </c>
      <c r="J10" s="2438"/>
      <c r="K10" s="3286"/>
      <c r="L10" s="2438"/>
      <c r="M10" s="3286"/>
      <c r="N10" s="2438"/>
      <c r="O10" s="3286"/>
      <c r="P10" s="2438"/>
      <c r="Q10" s="3286"/>
      <c r="R10" s="2438"/>
      <c r="S10" s="3286"/>
      <c r="T10" s="2438"/>
      <c r="U10" s="3286"/>
      <c r="V10" s="2438"/>
      <c r="W10" s="3286"/>
      <c r="X10" s="2438"/>
      <c r="Y10" s="3286"/>
      <c r="Z10" s="2438"/>
      <c r="AA10" s="3286"/>
      <c r="AB10" s="2438"/>
      <c r="AC10" s="2018"/>
      <c r="AD10" s="2182" t="s">
        <v>548</v>
      </c>
      <c r="AE10" s="3296"/>
      <c r="AF10" s="2182" t="s">
        <v>548</v>
      </c>
      <c r="AG10" s="3296"/>
      <c r="AH10" s="2182" t="s">
        <v>549</v>
      </c>
      <c r="AI10" s="3296"/>
      <c r="AJ10" s="2182" t="s">
        <v>549</v>
      </c>
      <c r="AK10" s="3296"/>
      <c r="AL10" s="2182" t="s">
        <v>550</v>
      </c>
      <c r="AM10" s="2032"/>
      <c r="AN10" s="2182" t="s">
        <v>550</v>
      </c>
      <c r="AO10" s="2032"/>
      <c r="AP10" s="2182" t="s">
        <v>551</v>
      </c>
      <c r="AQ10" s="2032"/>
      <c r="AR10" s="2182" t="s">
        <v>551</v>
      </c>
      <c r="AS10" s="2032"/>
      <c r="AT10" s="3264"/>
      <c r="AU10" s="3264"/>
      <c r="AV10" s="2018"/>
      <c r="AW10" s="2607"/>
      <c r="AX10" s="2018"/>
      <c r="AY10" s="3268"/>
      <c r="AZ10" s="3268"/>
      <c r="BA10" s="3269" t="s">
        <v>541</v>
      </c>
      <c r="BB10" s="3322" t="str">
        <f>I9</f>
        <v>地上</v>
      </c>
      <c r="BC10" s="2091">
        <f>K9</f>
        <v>0</v>
      </c>
      <c r="BD10" s="2091">
        <f>M9</f>
        <v>0</v>
      </c>
      <c r="BE10" s="2091">
        <f>O9</f>
        <v>0</v>
      </c>
      <c r="BF10" s="2091">
        <f>Q9</f>
        <v>0</v>
      </c>
      <c r="BG10" s="2091">
        <f>S9</f>
        <v>0</v>
      </c>
      <c r="BH10" s="2091">
        <f>U9</f>
        <v>0</v>
      </c>
      <c r="BI10" s="2091">
        <f>W9</f>
        <v>0</v>
      </c>
      <c r="BJ10" s="2091">
        <f>Y9</f>
        <v>0</v>
      </c>
      <c r="BK10" s="2091">
        <f>AA9</f>
        <v>0</v>
      </c>
      <c r="BL10" s="2087" t="s">
        <v>541</v>
      </c>
      <c r="BM10" s="1049" t="str">
        <f>AD9</f>
        <v>地上</v>
      </c>
      <c r="BN10" s="2091" t="str">
        <f>AF9</f>
        <v>地下</v>
      </c>
      <c r="BO10" s="1049" t="str">
        <f>AH9</f>
        <v>地上</v>
      </c>
      <c r="BP10" s="2091" t="str">
        <f>AJ9</f>
        <v>地下</v>
      </c>
      <c r="BQ10" s="1049" t="str">
        <f>AL9</f>
        <v>地上</v>
      </c>
      <c r="BR10" s="2091" t="str">
        <f>AN9</f>
        <v>地下</v>
      </c>
      <c r="BS10" s="1049" t="str">
        <f>AP9</f>
        <v>地上</v>
      </c>
      <c r="BT10" s="3330" t="str">
        <f>AR9</f>
        <v>地下</v>
      </c>
    </row>
    <row r="11" s="2951" customFormat="1" ht="12.75" spans="1:72">
      <c r="A11" s="3264"/>
      <c r="B11" s="3264"/>
      <c r="C11" s="3264"/>
      <c r="D11" s="3264"/>
      <c r="E11" s="3264"/>
      <c r="F11" s="3264"/>
      <c r="G11" s="2018"/>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18"/>
      <c r="AD11" s="3297" t="s">
        <v>552</v>
      </c>
      <c r="AE11" s="1107"/>
      <c r="AF11" s="3297" t="s">
        <v>552</v>
      </c>
      <c r="AG11" s="1107"/>
      <c r="AH11" s="3297" t="s">
        <v>553</v>
      </c>
      <c r="AI11" s="3301"/>
      <c r="AJ11" s="3297" t="s">
        <v>553</v>
      </c>
      <c r="AK11" s="1107"/>
      <c r="AL11" s="1049"/>
      <c r="AM11" s="1107"/>
      <c r="AN11" s="1049"/>
      <c r="AO11" s="1107"/>
      <c r="AP11" s="1049"/>
      <c r="AQ11" s="1107"/>
      <c r="AR11" s="1049"/>
      <c r="AS11" s="1107"/>
      <c r="AT11" s="2607"/>
      <c r="AU11" s="3264"/>
      <c r="AV11" s="2018"/>
      <c r="AW11" s="2607"/>
      <c r="AX11" s="2018"/>
      <c r="AY11" s="3268"/>
      <c r="AZ11" s="3268"/>
      <c r="BA11" s="3268"/>
      <c r="BB11" s="3293" t="str">
        <f>I10</f>
        <v>住宅</v>
      </c>
      <c r="BC11" s="3293">
        <f>K10</f>
        <v>0</v>
      </c>
      <c r="BD11" s="3293">
        <f>M10</f>
        <v>0</v>
      </c>
      <c r="BE11" s="3293">
        <f>O10</f>
        <v>0</v>
      </c>
      <c r="BF11" s="3293">
        <f>Q10</f>
        <v>0</v>
      </c>
      <c r="BG11" s="3293">
        <f>S10</f>
        <v>0</v>
      </c>
      <c r="BH11" s="3293">
        <f>U10</f>
        <v>0</v>
      </c>
      <c r="BI11" s="3293">
        <f>W10</f>
        <v>0</v>
      </c>
      <c r="BJ11" s="3293">
        <f>Y10</f>
        <v>0</v>
      </c>
      <c r="BK11" s="3293">
        <f>AA10</f>
        <v>0</v>
      </c>
      <c r="BL11" s="2018"/>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087" t="str">
        <f>AP10</f>
        <v>未注明</v>
      </c>
      <c r="BT11" s="3331" t="str">
        <f>AR10</f>
        <v>未注明</v>
      </c>
    </row>
    <row r="12" s="3243" customFormat="1" ht="12.75" spans="1:72">
      <c r="A12" s="3270"/>
      <c r="B12" s="3270"/>
      <c r="C12" s="3270"/>
      <c r="D12" s="3270"/>
      <c r="E12" s="3270"/>
      <c r="F12" s="3270"/>
      <c r="G12" s="634"/>
      <c r="H12" s="3271"/>
      <c r="I12" s="2673" t="s">
        <v>554</v>
      </c>
      <c r="J12" s="1051" t="s">
        <v>555</v>
      </c>
      <c r="K12" s="1051" t="s">
        <v>554</v>
      </c>
      <c r="L12" s="1051" t="s">
        <v>555</v>
      </c>
      <c r="M12" s="1051" t="s">
        <v>554</v>
      </c>
      <c r="N12" s="1051" t="s">
        <v>555</v>
      </c>
      <c r="O12" s="1051" t="s">
        <v>554</v>
      </c>
      <c r="P12" s="1051" t="s">
        <v>555</v>
      </c>
      <c r="Q12" s="1051" t="s">
        <v>554</v>
      </c>
      <c r="R12" s="1051" t="s">
        <v>555</v>
      </c>
      <c r="S12" s="1051" t="s">
        <v>554</v>
      </c>
      <c r="T12" s="1051" t="s">
        <v>555</v>
      </c>
      <c r="U12" s="1051" t="s">
        <v>554</v>
      </c>
      <c r="V12" s="2519" t="s">
        <v>555</v>
      </c>
      <c r="W12" s="1051" t="s">
        <v>554</v>
      </c>
      <c r="X12" s="1051" t="s">
        <v>555</v>
      </c>
      <c r="Y12" s="1051" t="s">
        <v>554</v>
      </c>
      <c r="Z12" s="1051" t="s">
        <v>555</v>
      </c>
      <c r="AA12" s="1051" t="s">
        <v>554</v>
      </c>
      <c r="AB12" s="1051" t="s">
        <v>555</v>
      </c>
      <c r="AC12" s="3298"/>
      <c r="AD12" s="2673" t="s">
        <v>554</v>
      </c>
      <c r="AE12" s="1051" t="s">
        <v>555</v>
      </c>
      <c r="AF12" s="1051" t="s">
        <v>554</v>
      </c>
      <c r="AG12" s="1051" t="s">
        <v>555</v>
      </c>
      <c r="AH12" s="1051" t="s">
        <v>554</v>
      </c>
      <c r="AI12" s="1051" t="s">
        <v>555</v>
      </c>
      <c r="AJ12" s="1051" t="s">
        <v>554</v>
      </c>
      <c r="AK12" s="1051" t="s">
        <v>555</v>
      </c>
      <c r="AL12" s="1051" t="s">
        <v>554</v>
      </c>
      <c r="AM12" s="1051" t="s">
        <v>555</v>
      </c>
      <c r="AN12" s="1051" t="s">
        <v>554</v>
      </c>
      <c r="AO12" s="1051" t="s">
        <v>555</v>
      </c>
      <c r="AP12" s="1051" t="s">
        <v>554</v>
      </c>
      <c r="AQ12" s="1051" t="s">
        <v>555</v>
      </c>
      <c r="AR12" s="634" t="s">
        <v>554</v>
      </c>
      <c r="AS12" s="3270" t="s">
        <v>555</v>
      </c>
      <c r="AT12" s="3306"/>
      <c r="AU12" s="3270"/>
      <c r="AV12" s="3307"/>
      <c r="AW12" s="2659"/>
      <c r="AX12" s="3307"/>
      <c r="AY12" s="3323"/>
      <c r="AZ12" s="3268"/>
      <c r="BA12" s="3269"/>
      <c r="BB12" s="1048">
        <f>I11</f>
        <v>0</v>
      </c>
      <c r="BC12" s="3324">
        <f>K11</f>
        <v>0</v>
      </c>
      <c r="BD12" s="3324">
        <f>M11</f>
        <v>0</v>
      </c>
      <c r="BE12" s="3293">
        <f>O11</f>
        <v>0</v>
      </c>
      <c r="BF12" s="3293">
        <f>Q11</f>
        <v>0</v>
      </c>
      <c r="BG12" s="3293">
        <f>S11</f>
        <v>0</v>
      </c>
      <c r="BH12" s="3293">
        <f>U11</f>
        <v>0</v>
      </c>
      <c r="BI12" s="3293">
        <f>W11</f>
        <v>0</v>
      </c>
      <c r="BJ12" s="3293">
        <f>Y11</f>
        <v>0</v>
      </c>
      <c r="BK12" s="3293">
        <f>AA11</f>
        <v>0</v>
      </c>
      <c r="BL12" s="2018"/>
      <c r="BM12" s="1049" t="str">
        <f>AD11</f>
        <v>（住宅）</v>
      </c>
      <c r="BN12" s="1049" t="str">
        <f>AF11</f>
        <v>（住宅）</v>
      </c>
      <c r="BO12" s="1048" t="str">
        <f>AH11</f>
        <v>（住宅、计出让金）</v>
      </c>
      <c r="BP12" s="1048" t="str">
        <f>AJ11</f>
        <v>（住宅、计出让金）</v>
      </c>
      <c r="BQ12" s="1048">
        <f>AL11</f>
        <v>0</v>
      </c>
      <c r="BR12" s="1048">
        <f>AN11</f>
        <v>0</v>
      </c>
      <c r="BS12" s="2087">
        <f>AP11</f>
        <v>0</v>
      </c>
      <c r="BT12" s="3331">
        <f>AR11</f>
        <v>0</v>
      </c>
    </row>
    <row r="13" s="3243" customFormat="1" ht="12.75" spans="1:72">
      <c r="A13" s="3272"/>
      <c r="B13" s="3272"/>
      <c r="C13" s="3272">
        <v>201</v>
      </c>
      <c r="D13" s="3273" t="s">
        <v>556</v>
      </c>
      <c r="E13" s="3258">
        <f>IF($C$3="是",ROUND($A$3*G13/$B$3,2),ROUND($A$3*(G13-AT13)/$B$3,2))</f>
        <v>0</v>
      </c>
      <c r="F13" s="3274"/>
      <c r="G13" s="3275">
        <f>H13+AC13+AT13</f>
        <v>211.57</v>
      </c>
      <c r="H13" s="3261">
        <f>SUMIF(I$12:AB$12,"总值",I13:AB13)</f>
        <v>211.57</v>
      </c>
      <c r="I13" s="3289">
        <v>211.57</v>
      </c>
      <c r="J13" s="3289"/>
      <c r="K13" s="3289"/>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51">
        <f t="shared" ref="AV13:AX17" si="6">A13</f>
        <v>0</v>
      </c>
      <c r="AW13" s="1051">
        <f t="shared" si="6"/>
        <v>0</v>
      </c>
      <c r="AX13" s="1051">
        <f t="shared" si="6"/>
        <v>201</v>
      </c>
      <c r="AY13" s="2673">
        <f>ROUND($AY$6*AZ13/$AZ$5,2)</f>
        <v>0</v>
      </c>
      <c r="AZ13" s="3258">
        <f>BA13+BL13</f>
        <v>211.57</v>
      </c>
      <c r="BA13" s="3258">
        <f>SUM(BB13:BK13)</f>
        <v>211.57</v>
      </c>
      <c r="BB13" s="3258">
        <f>IF($D13="是",I13-J13,0)</f>
        <v>211.57</v>
      </c>
      <c r="BC13" s="3258">
        <f>IF($D13="是",K13-L13,0)</f>
        <v>0</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2.75"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51">
        <f t="shared" si="6"/>
        <v>0</v>
      </c>
      <c r="AW14" s="1051">
        <f t="shared" si="6"/>
        <v>0</v>
      </c>
      <c r="AX14" s="1051">
        <f t="shared" si="6"/>
        <v>0</v>
      </c>
      <c r="AY14" s="2673">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2.75"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51">
        <f t="shared" si="6"/>
        <v>0</v>
      </c>
      <c r="AW15" s="1051">
        <f t="shared" si="6"/>
        <v>0</v>
      </c>
      <c r="AX15" s="1051">
        <f t="shared" si="6"/>
        <v>0</v>
      </c>
      <c r="AY15" s="2673">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2.75"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51">
        <f t="shared" si="6"/>
        <v>0</v>
      </c>
      <c r="AW16" s="1051">
        <f t="shared" si="6"/>
        <v>0</v>
      </c>
      <c r="AX16" s="1051">
        <f t="shared" si="6"/>
        <v>0</v>
      </c>
      <c r="AY16" s="2673">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2.75"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51">
        <f t="shared" si="6"/>
        <v>0</v>
      </c>
      <c r="AW17" s="1051">
        <f t="shared" si="6"/>
        <v>0</v>
      </c>
      <c r="AX17" s="1051">
        <f t="shared" si="6"/>
        <v>0</v>
      </c>
      <c r="AY17" s="2673">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61">
        <f t="shared" ref="AV18:AV112" si="11">A18</f>
        <v>0</v>
      </c>
      <c r="AW18" s="1361">
        <f t="shared" ref="AW18:AW112" si="12">B18</f>
        <v>0</v>
      </c>
      <c r="AX18" s="1361">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61">
        <f t="shared" si="11"/>
        <v>0</v>
      </c>
      <c r="AW19" s="1361">
        <f t="shared" si="12"/>
        <v>0</v>
      </c>
      <c r="AX19" s="1361">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61">
        <f t="shared" si="11"/>
        <v>0</v>
      </c>
      <c r="AW20" s="1361">
        <f t="shared" si="12"/>
        <v>0</v>
      </c>
      <c r="AX20" s="1361">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61">
        <f t="shared" si="11"/>
        <v>0</v>
      </c>
      <c r="AW21" s="1361">
        <f t="shared" si="12"/>
        <v>0</v>
      </c>
      <c r="AX21" s="1361">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61">
        <f t="shared" si="11"/>
        <v>0</v>
      </c>
      <c r="AW22" s="1361">
        <f t="shared" si="12"/>
        <v>0</v>
      </c>
      <c r="AX22" s="1361">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61">
        <f t="shared" si="11"/>
        <v>0</v>
      </c>
      <c r="AW23" s="1361">
        <f t="shared" si="12"/>
        <v>0</v>
      </c>
      <c r="AX23" s="1361">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61">
        <f t="shared" si="11"/>
        <v>0</v>
      </c>
      <c r="AW24" s="1361">
        <f t="shared" si="12"/>
        <v>0</v>
      </c>
      <c r="AX24" s="1361">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61">
        <f t="shared" si="11"/>
        <v>0</v>
      </c>
      <c r="AW25" s="1361">
        <f t="shared" si="12"/>
        <v>0</v>
      </c>
      <c r="AX25" s="1361">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61">
        <f t="shared" si="11"/>
        <v>0</v>
      </c>
      <c r="AW26" s="1361">
        <f t="shared" si="12"/>
        <v>0</v>
      </c>
      <c r="AX26" s="1361">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61">
        <f t="shared" si="11"/>
        <v>0</v>
      </c>
      <c r="AW27" s="1361">
        <f t="shared" si="12"/>
        <v>0</v>
      </c>
      <c r="AX27" s="1361">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61">
        <f t="shared" si="11"/>
        <v>0</v>
      </c>
      <c r="AW28" s="1361">
        <f t="shared" si="12"/>
        <v>0</v>
      </c>
      <c r="AX28" s="1361">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61">
        <f t="shared" si="11"/>
        <v>0</v>
      </c>
      <c r="AW29" s="1361">
        <f t="shared" si="12"/>
        <v>0</v>
      </c>
      <c r="AX29" s="1361">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61">
        <f t="shared" si="11"/>
        <v>0</v>
      </c>
      <c r="AW30" s="1361">
        <f t="shared" si="12"/>
        <v>0</v>
      </c>
      <c r="AX30" s="1361">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61">
        <f t="shared" si="11"/>
        <v>0</v>
      </c>
      <c r="AW31" s="1361">
        <f t="shared" si="12"/>
        <v>0</v>
      </c>
      <c r="AX31" s="1361">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61">
        <f t="shared" si="11"/>
        <v>0</v>
      </c>
      <c r="AW32" s="1361">
        <f t="shared" si="12"/>
        <v>0</v>
      </c>
      <c r="AX32" s="1361">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61">
        <f t="shared" si="11"/>
        <v>0</v>
      </c>
      <c r="AW33" s="1361">
        <f t="shared" si="12"/>
        <v>0</v>
      </c>
      <c r="AX33" s="1361">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61">
        <f t="shared" si="11"/>
        <v>0</v>
      </c>
      <c r="AW34" s="1361">
        <f t="shared" si="12"/>
        <v>0</v>
      </c>
      <c r="AX34" s="1361">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61">
        <f t="shared" si="11"/>
        <v>0</v>
      </c>
      <c r="AW35" s="1361">
        <f t="shared" si="12"/>
        <v>0</v>
      </c>
      <c r="AX35" s="1361">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61">
        <f t="shared" si="11"/>
        <v>0</v>
      </c>
      <c r="AW36" s="1361">
        <f t="shared" si="12"/>
        <v>0</v>
      </c>
      <c r="AX36" s="1361">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61">
        <f t="shared" si="11"/>
        <v>0</v>
      </c>
      <c r="AW37" s="1361">
        <f t="shared" si="12"/>
        <v>0</v>
      </c>
      <c r="AX37" s="1361">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61">
        <f t="shared" si="11"/>
        <v>0</v>
      </c>
      <c r="AW38" s="1361">
        <f t="shared" si="12"/>
        <v>0</v>
      </c>
      <c r="AX38" s="1361">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61">
        <f t="shared" si="11"/>
        <v>0</v>
      </c>
      <c r="AW39" s="1361">
        <f t="shared" si="12"/>
        <v>0</v>
      </c>
      <c r="AX39" s="1361">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61">
        <f t="shared" si="11"/>
        <v>0</v>
      </c>
      <c r="AW40" s="1361">
        <f t="shared" si="12"/>
        <v>0</v>
      </c>
      <c r="AX40" s="1361">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61">
        <f t="shared" si="11"/>
        <v>0</v>
      </c>
      <c r="AW41" s="1361">
        <f t="shared" si="12"/>
        <v>0</v>
      </c>
      <c r="AX41" s="1361">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61">
        <f t="shared" si="11"/>
        <v>0</v>
      </c>
      <c r="AW42" s="1361">
        <f t="shared" si="12"/>
        <v>0</v>
      </c>
      <c r="AX42" s="1361">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61">
        <f t="shared" si="11"/>
        <v>0</v>
      </c>
      <c r="AW43" s="1361">
        <f t="shared" si="12"/>
        <v>0</v>
      </c>
      <c r="AX43" s="1361">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61">
        <f t="shared" si="11"/>
        <v>0</v>
      </c>
      <c r="AW44" s="1361">
        <f t="shared" si="12"/>
        <v>0</v>
      </c>
      <c r="AX44" s="1361">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61">
        <f t="shared" si="11"/>
        <v>0</v>
      </c>
      <c r="AW45" s="1361">
        <f t="shared" si="12"/>
        <v>0</v>
      </c>
      <c r="AX45" s="1361">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61">
        <f t="shared" si="11"/>
        <v>0</v>
      </c>
      <c r="AW46" s="1361">
        <f t="shared" si="12"/>
        <v>0</v>
      </c>
      <c r="AX46" s="1361">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61">
        <f t="shared" si="11"/>
        <v>0</v>
      </c>
      <c r="AW47" s="1361">
        <f t="shared" si="12"/>
        <v>0</v>
      </c>
      <c r="AX47" s="1361">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61">
        <f t="shared" si="11"/>
        <v>0</v>
      </c>
      <c r="AW48" s="1361">
        <f t="shared" si="12"/>
        <v>0</v>
      </c>
      <c r="AX48" s="1361">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61">
        <f t="shared" si="11"/>
        <v>0</v>
      </c>
      <c r="AW49" s="1361">
        <f t="shared" si="12"/>
        <v>0</v>
      </c>
      <c r="AX49" s="1361">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61">
        <f t="shared" si="11"/>
        <v>0</v>
      </c>
      <c r="AW50" s="1361">
        <f t="shared" si="12"/>
        <v>0</v>
      </c>
      <c r="AX50" s="1361">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61">
        <f t="shared" si="11"/>
        <v>0</v>
      </c>
      <c r="AW51" s="1361">
        <f t="shared" si="12"/>
        <v>0</v>
      </c>
      <c r="AX51" s="1361">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61">
        <f t="shared" si="11"/>
        <v>0</v>
      </c>
      <c r="AW52" s="1361">
        <f t="shared" si="12"/>
        <v>0</v>
      </c>
      <c r="AX52" s="1361">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61">
        <f t="shared" si="11"/>
        <v>0</v>
      </c>
      <c r="AW53" s="1361">
        <f t="shared" si="12"/>
        <v>0</v>
      </c>
      <c r="AX53" s="1361">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61">
        <f t="shared" si="11"/>
        <v>0</v>
      </c>
      <c r="AW54" s="1361">
        <f t="shared" si="12"/>
        <v>0</v>
      </c>
      <c r="AX54" s="1361">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61">
        <f t="shared" si="11"/>
        <v>0</v>
      </c>
      <c r="AW55" s="1361">
        <f t="shared" si="12"/>
        <v>0</v>
      </c>
      <c r="AX55" s="1361">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61">
        <f t="shared" si="11"/>
        <v>0</v>
      </c>
      <c r="AW56" s="1361">
        <f t="shared" si="12"/>
        <v>0</v>
      </c>
      <c r="AX56" s="1361">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61">
        <f t="shared" si="11"/>
        <v>0</v>
      </c>
      <c r="AW57" s="1361">
        <f t="shared" si="12"/>
        <v>0</v>
      </c>
      <c r="AX57" s="1361">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61">
        <f t="shared" si="11"/>
        <v>0</v>
      </c>
      <c r="AW58" s="1361">
        <f t="shared" si="12"/>
        <v>0</v>
      </c>
      <c r="AX58" s="1361">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61">
        <f t="shared" si="11"/>
        <v>0</v>
      </c>
      <c r="AW59" s="1361">
        <f t="shared" si="12"/>
        <v>0</v>
      </c>
      <c r="AX59" s="1361">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61">
        <f t="shared" si="11"/>
        <v>0</v>
      </c>
      <c r="AW60" s="1361">
        <f t="shared" si="12"/>
        <v>0</v>
      </c>
      <c r="AX60" s="1361">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61">
        <f t="shared" si="11"/>
        <v>0</v>
      </c>
      <c r="AW61" s="1361">
        <f t="shared" si="12"/>
        <v>0</v>
      </c>
      <c r="AX61" s="1361">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61">
        <f t="shared" si="11"/>
        <v>0</v>
      </c>
      <c r="AW62" s="1361">
        <f t="shared" si="12"/>
        <v>0</v>
      </c>
      <c r="AX62" s="1361">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61">
        <f t="shared" si="11"/>
        <v>0</v>
      </c>
      <c r="AW63" s="1361">
        <f t="shared" si="12"/>
        <v>0</v>
      </c>
      <c r="AX63" s="1361">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61">
        <f t="shared" si="11"/>
        <v>0</v>
      </c>
      <c r="AW64" s="1361">
        <f t="shared" si="12"/>
        <v>0</v>
      </c>
      <c r="AX64" s="1361">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61">
        <f t="shared" si="11"/>
        <v>0</v>
      </c>
      <c r="AW65" s="1361">
        <f t="shared" si="12"/>
        <v>0</v>
      </c>
      <c r="AX65" s="1361">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61">
        <f t="shared" si="11"/>
        <v>0</v>
      </c>
      <c r="AW66" s="1361">
        <f t="shared" si="12"/>
        <v>0</v>
      </c>
      <c r="AX66" s="1361">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61">
        <f t="shared" si="11"/>
        <v>0</v>
      </c>
      <c r="AW67" s="1361">
        <f t="shared" si="12"/>
        <v>0</v>
      </c>
      <c r="AX67" s="1361">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61">
        <f t="shared" si="11"/>
        <v>0</v>
      </c>
      <c r="AW68" s="1361">
        <f t="shared" si="12"/>
        <v>0</v>
      </c>
      <c r="AX68" s="1361">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61">
        <f t="shared" si="11"/>
        <v>0</v>
      </c>
      <c r="AW69" s="1361">
        <f t="shared" si="12"/>
        <v>0</v>
      </c>
      <c r="AX69" s="1361">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61">
        <f t="shared" si="11"/>
        <v>0</v>
      </c>
      <c r="AW70" s="1361">
        <f t="shared" si="12"/>
        <v>0</v>
      </c>
      <c r="AX70" s="1361">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61">
        <f t="shared" si="11"/>
        <v>0</v>
      </c>
      <c r="AW71" s="1361">
        <f t="shared" si="12"/>
        <v>0</v>
      </c>
      <c r="AX71" s="1361">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61">
        <f t="shared" si="11"/>
        <v>0</v>
      </c>
      <c r="AW72" s="1361">
        <f t="shared" si="12"/>
        <v>0</v>
      </c>
      <c r="AX72" s="1361">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61">
        <f t="shared" si="11"/>
        <v>0</v>
      </c>
      <c r="AW73" s="1361">
        <f t="shared" si="12"/>
        <v>0</v>
      </c>
      <c r="AX73" s="1361">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61">
        <f t="shared" si="11"/>
        <v>0</v>
      </c>
      <c r="AW74" s="1361">
        <f t="shared" si="12"/>
        <v>0</v>
      </c>
      <c r="AX74" s="1361">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61">
        <f t="shared" si="11"/>
        <v>0</v>
      </c>
      <c r="AW75" s="1361">
        <f t="shared" si="12"/>
        <v>0</v>
      </c>
      <c r="AX75" s="1361">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61">
        <f t="shared" si="11"/>
        <v>0</v>
      </c>
      <c r="AW76" s="1361">
        <f t="shared" si="12"/>
        <v>0</v>
      </c>
      <c r="AX76" s="1361">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61">
        <f t="shared" si="11"/>
        <v>0</v>
      </c>
      <c r="AW77" s="1361">
        <f t="shared" si="12"/>
        <v>0</v>
      </c>
      <c r="AX77" s="1361">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61">
        <f t="shared" si="11"/>
        <v>0</v>
      </c>
      <c r="AW78" s="1361">
        <f t="shared" si="12"/>
        <v>0</v>
      </c>
      <c r="AX78" s="1361">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61">
        <f t="shared" si="11"/>
        <v>0</v>
      </c>
      <c r="AW79" s="1361">
        <f t="shared" si="12"/>
        <v>0</v>
      </c>
      <c r="AX79" s="1361">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61">
        <f t="shared" si="11"/>
        <v>0</v>
      </c>
      <c r="AW80" s="1361">
        <f t="shared" si="12"/>
        <v>0</v>
      </c>
      <c r="AX80" s="1361">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61">
        <f t="shared" si="11"/>
        <v>0</v>
      </c>
      <c r="AW81" s="1361">
        <f t="shared" si="12"/>
        <v>0</v>
      </c>
      <c r="AX81" s="1361">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61">
        <f t="shared" si="11"/>
        <v>0</v>
      </c>
      <c r="AW82" s="1361">
        <f t="shared" si="12"/>
        <v>0</v>
      </c>
      <c r="AX82" s="1361">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61">
        <f t="shared" si="11"/>
        <v>0</v>
      </c>
      <c r="AW83" s="1361">
        <f t="shared" si="12"/>
        <v>0</v>
      </c>
      <c r="AX83" s="1361">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61">
        <f t="shared" si="11"/>
        <v>0</v>
      </c>
      <c r="AW84" s="1361">
        <f t="shared" si="12"/>
        <v>0</v>
      </c>
      <c r="AX84" s="1361">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61">
        <f t="shared" si="11"/>
        <v>0</v>
      </c>
      <c r="AW85" s="1361">
        <f t="shared" si="12"/>
        <v>0</v>
      </c>
      <c r="AX85" s="1361">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61">
        <f t="shared" si="11"/>
        <v>0</v>
      </c>
      <c r="AW86" s="1361">
        <f t="shared" si="12"/>
        <v>0</v>
      </c>
      <c r="AX86" s="1361">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61">
        <f t="shared" si="11"/>
        <v>0</v>
      </c>
      <c r="AW87" s="1361">
        <f t="shared" si="12"/>
        <v>0</v>
      </c>
      <c r="AX87" s="1361">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61">
        <f t="shared" si="11"/>
        <v>0</v>
      </c>
      <c r="AW88" s="1361">
        <f t="shared" si="12"/>
        <v>0</v>
      </c>
      <c r="AX88" s="1361">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61">
        <f t="shared" si="11"/>
        <v>0</v>
      </c>
      <c r="AW89" s="1361">
        <f t="shared" si="12"/>
        <v>0</v>
      </c>
      <c r="AX89" s="1361">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61">
        <f t="shared" si="11"/>
        <v>0</v>
      </c>
      <c r="AW90" s="1361">
        <f t="shared" si="12"/>
        <v>0</v>
      </c>
      <c r="AX90" s="1361">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61">
        <f t="shared" si="11"/>
        <v>0</v>
      </c>
      <c r="AW91" s="1361">
        <f t="shared" si="12"/>
        <v>0</v>
      </c>
      <c r="AX91" s="1361">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61">
        <f t="shared" si="11"/>
        <v>0</v>
      </c>
      <c r="AW92" s="1361">
        <f t="shared" si="12"/>
        <v>0</v>
      </c>
      <c r="AX92" s="1361">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61">
        <f t="shared" si="11"/>
        <v>0</v>
      </c>
      <c r="AW93" s="1361">
        <f t="shared" si="12"/>
        <v>0</v>
      </c>
      <c r="AX93" s="1361">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61">
        <f t="shared" si="11"/>
        <v>0</v>
      </c>
      <c r="AW94" s="1361">
        <f t="shared" si="12"/>
        <v>0</v>
      </c>
      <c r="AX94" s="1361">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61">
        <f t="shared" si="11"/>
        <v>0</v>
      </c>
      <c r="AW95" s="1361">
        <f t="shared" si="12"/>
        <v>0</v>
      </c>
      <c r="AX95" s="1361">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61">
        <f t="shared" si="11"/>
        <v>0</v>
      </c>
      <c r="AW96" s="1361">
        <f t="shared" si="12"/>
        <v>0</v>
      </c>
      <c r="AX96" s="1361">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61">
        <f t="shared" si="11"/>
        <v>0</v>
      </c>
      <c r="AW97" s="1361">
        <f t="shared" si="12"/>
        <v>0</v>
      </c>
      <c r="AX97" s="1361">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61">
        <f t="shared" si="11"/>
        <v>0</v>
      </c>
      <c r="AW98" s="1361">
        <f t="shared" si="12"/>
        <v>0</v>
      </c>
      <c r="AX98" s="1361">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61">
        <f t="shared" si="11"/>
        <v>0</v>
      </c>
      <c r="AW99" s="1361">
        <f t="shared" si="12"/>
        <v>0</v>
      </c>
      <c r="AX99" s="1361">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61">
        <f t="shared" si="11"/>
        <v>0</v>
      </c>
      <c r="AW100" s="1361">
        <f t="shared" si="12"/>
        <v>0</v>
      </c>
      <c r="AX100" s="1361">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61">
        <f t="shared" si="11"/>
        <v>0</v>
      </c>
      <c r="AW101" s="1361">
        <f t="shared" si="12"/>
        <v>0</v>
      </c>
      <c r="AX101" s="1361">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61">
        <f t="shared" si="11"/>
        <v>0</v>
      </c>
      <c r="AW102" s="1361">
        <f t="shared" si="12"/>
        <v>0</v>
      </c>
      <c r="AX102" s="1361">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61">
        <f t="shared" si="11"/>
        <v>0</v>
      </c>
      <c r="AW103" s="1361">
        <f t="shared" si="12"/>
        <v>0</v>
      </c>
      <c r="AX103" s="1361">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61">
        <f t="shared" si="11"/>
        <v>0</v>
      </c>
      <c r="AW104" s="1361">
        <f t="shared" si="12"/>
        <v>0</v>
      </c>
      <c r="AX104" s="1361">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61">
        <f t="shared" si="11"/>
        <v>0</v>
      </c>
      <c r="AW105" s="1361">
        <f t="shared" si="12"/>
        <v>0</v>
      </c>
      <c r="AX105" s="1361">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61">
        <f t="shared" si="11"/>
        <v>0</v>
      </c>
      <c r="AW106" s="1361">
        <f t="shared" si="12"/>
        <v>0</v>
      </c>
      <c r="AX106" s="1361">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61">
        <f t="shared" si="11"/>
        <v>0</v>
      </c>
      <c r="AW107" s="1361">
        <f t="shared" si="12"/>
        <v>0</v>
      </c>
      <c r="AX107" s="1361">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61">
        <f t="shared" si="11"/>
        <v>0</v>
      </c>
      <c r="AW108" s="1361">
        <f t="shared" si="12"/>
        <v>0</v>
      </c>
      <c r="AX108" s="1361">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61">
        <f t="shared" si="11"/>
        <v>0</v>
      </c>
      <c r="AW109" s="1361">
        <f t="shared" si="12"/>
        <v>0</v>
      </c>
      <c r="AX109" s="1361">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61">
        <f t="shared" si="11"/>
        <v>0</v>
      </c>
      <c r="AW110" s="1361">
        <f t="shared" si="12"/>
        <v>0</v>
      </c>
      <c r="AX110" s="1361">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61">
        <f t="shared" si="11"/>
        <v>0</v>
      </c>
      <c r="AW111" s="1361">
        <f t="shared" si="12"/>
        <v>0</v>
      </c>
      <c r="AX111" s="1361">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61">
        <f t="shared" si="11"/>
        <v>0</v>
      </c>
      <c r="AW112" s="1361">
        <f t="shared" si="12"/>
        <v>0</v>
      </c>
      <c r="AX112" s="1361">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61">
        <f t="shared" ref="AV113:AV144" si="62">A113</f>
        <v>0</v>
      </c>
      <c r="AW113" s="1361">
        <f t="shared" ref="AW113:AW144" si="63">B113</f>
        <v>0</v>
      </c>
      <c r="AX113" s="1361">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61">
        <f t="shared" si="62"/>
        <v>0</v>
      </c>
      <c r="AW114" s="1361">
        <f t="shared" si="63"/>
        <v>0</v>
      </c>
      <c r="AX114" s="1361">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61">
        <f t="shared" si="62"/>
        <v>0</v>
      </c>
      <c r="AW115" s="1361">
        <f t="shared" si="63"/>
        <v>0</v>
      </c>
      <c r="AX115" s="1361">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61">
        <f t="shared" si="62"/>
        <v>0</v>
      </c>
      <c r="AW116" s="1361">
        <f t="shared" si="63"/>
        <v>0</v>
      </c>
      <c r="AX116" s="1361">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61">
        <f t="shared" si="62"/>
        <v>0</v>
      </c>
      <c r="AW117" s="1361">
        <f t="shared" si="63"/>
        <v>0</v>
      </c>
      <c r="AX117" s="1361">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61">
        <f t="shared" si="62"/>
        <v>0</v>
      </c>
      <c r="AW118" s="1361">
        <f t="shared" si="63"/>
        <v>0</v>
      </c>
      <c r="AX118" s="1361">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61">
        <f t="shared" si="62"/>
        <v>0</v>
      </c>
      <c r="AW119" s="1361">
        <f t="shared" si="63"/>
        <v>0</v>
      </c>
      <c r="AX119" s="1361">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61">
        <f t="shared" si="62"/>
        <v>0</v>
      </c>
      <c r="AW120" s="1361">
        <f t="shared" si="63"/>
        <v>0</v>
      </c>
      <c r="AX120" s="1361">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61">
        <f t="shared" si="62"/>
        <v>0</v>
      </c>
      <c r="AW121" s="1361">
        <f t="shared" si="63"/>
        <v>0</v>
      </c>
      <c r="AX121" s="1361">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61">
        <f t="shared" si="62"/>
        <v>0</v>
      </c>
      <c r="AW122" s="1361">
        <f t="shared" si="63"/>
        <v>0</v>
      </c>
      <c r="AX122" s="1361">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61">
        <f t="shared" si="62"/>
        <v>0</v>
      </c>
      <c r="AW123" s="1361">
        <f t="shared" si="63"/>
        <v>0</v>
      </c>
      <c r="AX123" s="1361">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61">
        <f t="shared" si="62"/>
        <v>0</v>
      </c>
      <c r="AW124" s="1361">
        <f t="shared" si="63"/>
        <v>0</v>
      </c>
      <c r="AX124" s="1361">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61">
        <f t="shared" si="62"/>
        <v>0</v>
      </c>
      <c r="AW125" s="1361">
        <f t="shared" si="63"/>
        <v>0</v>
      </c>
      <c r="AX125" s="1361">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61">
        <f t="shared" si="62"/>
        <v>0</v>
      </c>
      <c r="AW126" s="1361">
        <f t="shared" si="63"/>
        <v>0</v>
      </c>
      <c r="AX126" s="1361">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61">
        <f t="shared" si="62"/>
        <v>0</v>
      </c>
      <c r="AW127" s="1361">
        <f t="shared" si="63"/>
        <v>0</v>
      </c>
      <c r="AX127" s="1361">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61">
        <f t="shared" si="62"/>
        <v>0</v>
      </c>
      <c r="AW128" s="1361">
        <f t="shared" si="63"/>
        <v>0</v>
      </c>
      <c r="AX128" s="1361">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61">
        <f t="shared" si="62"/>
        <v>0</v>
      </c>
      <c r="AW129" s="1361">
        <f t="shared" si="63"/>
        <v>0</v>
      </c>
      <c r="AX129" s="1361">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61">
        <f t="shared" si="62"/>
        <v>0</v>
      </c>
      <c r="AW130" s="1361">
        <f t="shared" si="63"/>
        <v>0</v>
      </c>
      <c r="AX130" s="1361">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61">
        <f t="shared" si="62"/>
        <v>0</v>
      </c>
      <c r="AW131" s="1361">
        <f t="shared" si="63"/>
        <v>0</v>
      </c>
      <c r="AX131" s="1361">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61">
        <f t="shared" si="62"/>
        <v>0</v>
      </c>
      <c r="AW132" s="1361">
        <f t="shared" si="63"/>
        <v>0</v>
      </c>
      <c r="AX132" s="1361">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61">
        <f t="shared" si="62"/>
        <v>0</v>
      </c>
      <c r="AW133" s="1361">
        <f t="shared" si="63"/>
        <v>0</v>
      </c>
      <c r="AX133" s="1361">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61">
        <f t="shared" si="62"/>
        <v>0</v>
      </c>
      <c r="AW134" s="1361">
        <f t="shared" si="63"/>
        <v>0</v>
      </c>
      <c r="AX134" s="1361">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61">
        <f t="shared" si="62"/>
        <v>0</v>
      </c>
      <c r="AW135" s="1361">
        <f t="shared" si="63"/>
        <v>0</v>
      </c>
      <c r="AX135" s="1361">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61">
        <f t="shared" si="62"/>
        <v>0</v>
      </c>
      <c r="AW136" s="1361">
        <f t="shared" si="63"/>
        <v>0</v>
      </c>
      <c r="AX136" s="1361">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61">
        <f t="shared" si="62"/>
        <v>0</v>
      </c>
      <c r="AW137" s="1361">
        <f t="shared" si="63"/>
        <v>0</v>
      </c>
      <c r="AX137" s="1361">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61">
        <f t="shared" si="62"/>
        <v>0</v>
      </c>
      <c r="AW138" s="1361">
        <f t="shared" si="63"/>
        <v>0</v>
      </c>
      <c r="AX138" s="1361">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61">
        <f t="shared" si="62"/>
        <v>0</v>
      </c>
      <c r="AW139" s="1361">
        <f t="shared" si="63"/>
        <v>0</v>
      </c>
      <c r="AX139" s="1361">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61">
        <f t="shared" si="62"/>
        <v>0</v>
      </c>
      <c r="AW140" s="1361">
        <f t="shared" si="63"/>
        <v>0</v>
      </c>
      <c r="AX140" s="1361">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61">
        <f t="shared" si="62"/>
        <v>0</v>
      </c>
      <c r="AW141" s="1361">
        <f t="shared" si="63"/>
        <v>0</v>
      </c>
      <c r="AX141" s="1361">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61">
        <f t="shared" si="62"/>
        <v>0</v>
      </c>
      <c r="AW142" s="1361">
        <f t="shared" si="63"/>
        <v>0</v>
      </c>
      <c r="AX142" s="1361">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61">
        <f t="shared" si="62"/>
        <v>0</v>
      </c>
      <c r="AW143" s="1361">
        <f t="shared" si="63"/>
        <v>0</v>
      </c>
      <c r="AX143" s="1361">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61">
        <f t="shared" si="62"/>
        <v>0</v>
      </c>
      <c r="AW144" s="1361">
        <f t="shared" si="63"/>
        <v>0</v>
      </c>
      <c r="AX144" s="1361">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61">
        <f t="shared" ref="AV145:AV176" si="91">A145</f>
        <v>0</v>
      </c>
      <c r="AW145" s="1361">
        <f t="shared" ref="AW145:AW176" si="92">B145</f>
        <v>0</v>
      </c>
      <c r="AX145" s="1361">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61">
        <f t="shared" si="91"/>
        <v>0</v>
      </c>
      <c r="AW146" s="1361">
        <f t="shared" si="92"/>
        <v>0</v>
      </c>
      <c r="AX146" s="1361">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61">
        <f t="shared" si="91"/>
        <v>0</v>
      </c>
      <c r="AW147" s="1361">
        <f t="shared" si="92"/>
        <v>0</v>
      </c>
      <c r="AX147" s="1361">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61">
        <f t="shared" si="91"/>
        <v>0</v>
      </c>
      <c r="AW148" s="1361">
        <f t="shared" si="92"/>
        <v>0</v>
      </c>
      <c r="AX148" s="1361">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61">
        <f t="shared" si="91"/>
        <v>0</v>
      </c>
      <c r="AW149" s="1361">
        <f t="shared" si="92"/>
        <v>0</v>
      </c>
      <c r="AX149" s="1361">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61">
        <f t="shared" si="91"/>
        <v>0</v>
      </c>
      <c r="AW150" s="1361">
        <f t="shared" si="92"/>
        <v>0</v>
      </c>
      <c r="AX150" s="1361">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61">
        <f t="shared" si="91"/>
        <v>0</v>
      </c>
      <c r="AW151" s="1361">
        <f t="shared" si="92"/>
        <v>0</v>
      </c>
      <c r="AX151" s="1361">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61">
        <f t="shared" si="91"/>
        <v>0</v>
      </c>
      <c r="AW152" s="1361">
        <f t="shared" si="92"/>
        <v>0</v>
      </c>
      <c r="AX152" s="1361">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61">
        <f t="shared" si="91"/>
        <v>0</v>
      </c>
      <c r="AW153" s="1361">
        <f t="shared" si="92"/>
        <v>0</v>
      </c>
      <c r="AX153" s="1361">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61">
        <f t="shared" si="91"/>
        <v>0</v>
      </c>
      <c r="AW154" s="1361">
        <f t="shared" si="92"/>
        <v>0</v>
      </c>
      <c r="AX154" s="1361">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61">
        <f t="shared" si="91"/>
        <v>0</v>
      </c>
      <c r="AW155" s="1361">
        <f t="shared" si="92"/>
        <v>0</v>
      </c>
      <c r="AX155" s="1361">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61">
        <f t="shared" si="91"/>
        <v>0</v>
      </c>
      <c r="AW156" s="1361">
        <f t="shared" si="92"/>
        <v>0</v>
      </c>
      <c r="AX156" s="1361">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61">
        <f t="shared" si="91"/>
        <v>0</v>
      </c>
      <c r="AW157" s="1361">
        <f t="shared" si="92"/>
        <v>0</v>
      </c>
      <c r="AX157" s="1361">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61">
        <f t="shared" si="91"/>
        <v>0</v>
      </c>
      <c r="AW158" s="1361">
        <f t="shared" si="92"/>
        <v>0</v>
      </c>
      <c r="AX158" s="1361">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61">
        <f t="shared" si="91"/>
        <v>0</v>
      </c>
      <c r="AW159" s="1361">
        <f t="shared" si="92"/>
        <v>0</v>
      </c>
      <c r="AX159" s="1361">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61">
        <f t="shared" si="91"/>
        <v>0</v>
      </c>
      <c r="AW160" s="1361">
        <f t="shared" si="92"/>
        <v>0</v>
      </c>
      <c r="AX160" s="1361">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61">
        <f t="shared" si="91"/>
        <v>0</v>
      </c>
      <c r="AW161" s="1361">
        <f t="shared" si="92"/>
        <v>0</v>
      </c>
      <c r="AX161" s="1361">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61">
        <f t="shared" si="91"/>
        <v>0</v>
      </c>
      <c r="AW162" s="1361">
        <f t="shared" si="92"/>
        <v>0</v>
      </c>
      <c r="AX162" s="1361">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61">
        <f t="shared" si="91"/>
        <v>0</v>
      </c>
      <c r="AW163" s="1361">
        <f t="shared" si="92"/>
        <v>0</v>
      </c>
      <c r="AX163" s="1361">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61">
        <f t="shared" si="91"/>
        <v>0</v>
      </c>
      <c r="AW164" s="1361">
        <f t="shared" si="92"/>
        <v>0</v>
      </c>
      <c r="AX164" s="1361">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61">
        <f t="shared" si="91"/>
        <v>0</v>
      </c>
      <c r="AW165" s="1361">
        <f t="shared" si="92"/>
        <v>0</v>
      </c>
      <c r="AX165" s="1361">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61">
        <f t="shared" si="91"/>
        <v>0</v>
      </c>
      <c r="AW166" s="1361">
        <f t="shared" si="92"/>
        <v>0</v>
      </c>
      <c r="AX166" s="1361">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61">
        <f t="shared" si="91"/>
        <v>0</v>
      </c>
      <c r="AW167" s="1361">
        <f t="shared" si="92"/>
        <v>0</v>
      </c>
      <c r="AX167" s="1361">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61">
        <f t="shared" si="91"/>
        <v>0</v>
      </c>
      <c r="AW168" s="1361">
        <f t="shared" si="92"/>
        <v>0</v>
      </c>
      <c r="AX168" s="1361">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61">
        <f t="shared" si="91"/>
        <v>0</v>
      </c>
      <c r="AW169" s="1361">
        <f t="shared" si="92"/>
        <v>0</v>
      </c>
      <c r="AX169" s="1361">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61">
        <f t="shared" si="91"/>
        <v>0</v>
      </c>
      <c r="AW170" s="1361">
        <f t="shared" si="92"/>
        <v>0</v>
      </c>
      <c r="AX170" s="1361">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61">
        <f t="shared" si="91"/>
        <v>0</v>
      </c>
      <c r="AW171" s="1361">
        <f t="shared" si="92"/>
        <v>0</v>
      </c>
      <c r="AX171" s="1361">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61">
        <f t="shared" si="91"/>
        <v>0</v>
      </c>
      <c r="AW172" s="1361">
        <f t="shared" si="92"/>
        <v>0</v>
      </c>
      <c r="AX172" s="1361">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61">
        <f t="shared" si="91"/>
        <v>0</v>
      </c>
      <c r="AW173" s="1361">
        <f t="shared" si="92"/>
        <v>0</v>
      </c>
      <c r="AX173" s="1361">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61">
        <f t="shared" si="91"/>
        <v>0</v>
      </c>
      <c r="AW174" s="1361">
        <f t="shared" si="92"/>
        <v>0</v>
      </c>
      <c r="AX174" s="1361">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61">
        <f t="shared" si="91"/>
        <v>0</v>
      </c>
      <c r="AW175" s="1361">
        <f t="shared" si="92"/>
        <v>0</v>
      </c>
      <c r="AX175" s="1361">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61">
        <f t="shared" si="91"/>
        <v>0</v>
      </c>
      <c r="AW176" s="1361">
        <f t="shared" si="92"/>
        <v>0</v>
      </c>
      <c r="AX176" s="1361">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61">
        <f t="shared" ref="AV177:AV207" si="120">A177</f>
        <v>0</v>
      </c>
      <c r="AW177" s="1361">
        <f t="shared" ref="AW177:AW207" si="121">B177</f>
        <v>0</v>
      </c>
      <c r="AX177" s="1361">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61">
        <f t="shared" si="120"/>
        <v>0</v>
      </c>
      <c r="AW178" s="1361">
        <f t="shared" si="121"/>
        <v>0</v>
      </c>
      <c r="AX178" s="1361">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61">
        <f t="shared" si="120"/>
        <v>0</v>
      </c>
      <c r="AW179" s="1361">
        <f t="shared" si="121"/>
        <v>0</v>
      </c>
      <c r="AX179" s="1361">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61">
        <f t="shared" si="120"/>
        <v>0</v>
      </c>
      <c r="AW180" s="1361">
        <f t="shared" si="121"/>
        <v>0</v>
      </c>
      <c r="AX180" s="1361">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61">
        <f t="shared" si="120"/>
        <v>0</v>
      </c>
      <c r="AW181" s="1361">
        <f t="shared" si="121"/>
        <v>0</v>
      </c>
      <c r="AX181" s="1361">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61">
        <f t="shared" si="120"/>
        <v>0</v>
      </c>
      <c r="AW182" s="1361">
        <f t="shared" si="121"/>
        <v>0</v>
      </c>
      <c r="AX182" s="1361">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61">
        <f t="shared" si="120"/>
        <v>0</v>
      </c>
      <c r="AW183" s="1361">
        <f t="shared" si="121"/>
        <v>0</v>
      </c>
      <c r="AX183" s="1361">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61">
        <f t="shared" si="120"/>
        <v>0</v>
      </c>
      <c r="AW184" s="1361">
        <f t="shared" si="121"/>
        <v>0</v>
      </c>
      <c r="AX184" s="1361">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61">
        <f t="shared" si="120"/>
        <v>0</v>
      </c>
      <c r="AW185" s="1361">
        <f t="shared" si="121"/>
        <v>0</v>
      </c>
      <c r="AX185" s="1361">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61">
        <f t="shared" si="120"/>
        <v>0</v>
      </c>
      <c r="AW186" s="1361">
        <f t="shared" si="121"/>
        <v>0</v>
      </c>
      <c r="AX186" s="1361">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61">
        <f t="shared" si="120"/>
        <v>0</v>
      </c>
      <c r="AW187" s="1361">
        <f t="shared" si="121"/>
        <v>0</v>
      </c>
      <c r="AX187" s="1361">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61">
        <f t="shared" si="120"/>
        <v>0</v>
      </c>
      <c r="AW188" s="1361">
        <f t="shared" si="121"/>
        <v>0</v>
      </c>
      <c r="AX188" s="1361">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61">
        <f t="shared" si="120"/>
        <v>0</v>
      </c>
      <c r="AW189" s="1361">
        <f t="shared" si="121"/>
        <v>0</v>
      </c>
      <c r="AX189" s="1361">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61">
        <f t="shared" si="120"/>
        <v>0</v>
      </c>
      <c r="AW190" s="1361">
        <f t="shared" si="121"/>
        <v>0</v>
      </c>
      <c r="AX190" s="1361">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61">
        <f t="shared" si="120"/>
        <v>0</v>
      </c>
      <c r="AW191" s="1361">
        <f t="shared" si="121"/>
        <v>0</v>
      </c>
      <c r="AX191" s="1361">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61">
        <f t="shared" si="120"/>
        <v>0</v>
      </c>
      <c r="AW192" s="1361">
        <f t="shared" si="121"/>
        <v>0</v>
      </c>
      <c r="AX192" s="1361">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61">
        <f t="shared" si="120"/>
        <v>0</v>
      </c>
      <c r="AW193" s="1361">
        <f t="shared" si="121"/>
        <v>0</v>
      </c>
      <c r="AX193" s="1361">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61">
        <f t="shared" si="120"/>
        <v>0</v>
      </c>
      <c r="AW194" s="1361">
        <f t="shared" si="121"/>
        <v>0</v>
      </c>
      <c r="AX194" s="1361">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61">
        <f t="shared" si="120"/>
        <v>0</v>
      </c>
      <c r="AW195" s="1361">
        <f t="shared" si="121"/>
        <v>0</v>
      </c>
      <c r="AX195" s="1361">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61">
        <f t="shared" si="120"/>
        <v>0</v>
      </c>
      <c r="AW196" s="1361">
        <f t="shared" si="121"/>
        <v>0</v>
      </c>
      <c r="AX196" s="1361">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61">
        <f t="shared" si="120"/>
        <v>0</v>
      </c>
      <c r="AW197" s="1361">
        <f t="shared" si="121"/>
        <v>0</v>
      </c>
      <c r="AX197" s="1361">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61">
        <f t="shared" si="120"/>
        <v>0</v>
      </c>
      <c r="AW198" s="1361">
        <f t="shared" si="121"/>
        <v>0</v>
      </c>
      <c r="AX198" s="1361">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61">
        <f t="shared" si="120"/>
        <v>0</v>
      </c>
      <c r="AW199" s="1361">
        <f t="shared" si="121"/>
        <v>0</v>
      </c>
      <c r="AX199" s="1361">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61">
        <f t="shared" si="120"/>
        <v>0</v>
      </c>
      <c r="AW200" s="1361">
        <f t="shared" si="121"/>
        <v>0</v>
      </c>
      <c r="AX200" s="1361">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61">
        <f t="shared" si="120"/>
        <v>0</v>
      </c>
      <c r="AW201" s="1361">
        <f t="shared" si="121"/>
        <v>0</v>
      </c>
      <c r="AX201" s="1361">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61">
        <f t="shared" si="120"/>
        <v>0</v>
      </c>
      <c r="AW202" s="1361">
        <f t="shared" si="121"/>
        <v>0</v>
      </c>
      <c r="AX202" s="1361">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61">
        <f t="shared" si="120"/>
        <v>0</v>
      </c>
      <c r="AW203" s="1361">
        <f t="shared" si="121"/>
        <v>0</v>
      </c>
      <c r="AX203" s="1361">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61">
        <f t="shared" si="120"/>
        <v>0</v>
      </c>
      <c r="AW204" s="1361">
        <f t="shared" si="121"/>
        <v>0</v>
      </c>
      <c r="AX204" s="1361">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61">
        <f t="shared" si="120"/>
        <v>0</v>
      </c>
      <c r="AW205" s="1361">
        <f t="shared" si="121"/>
        <v>0</v>
      </c>
      <c r="AX205" s="1361">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61">
        <f t="shared" si="120"/>
        <v>0</v>
      </c>
      <c r="AW206" s="1361">
        <f t="shared" si="121"/>
        <v>0</v>
      </c>
      <c r="AX206" s="1361">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61">
        <f t="shared" si="120"/>
        <v>0</v>
      </c>
      <c r="AW207" s="1361">
        <f t="shared" si="121"/>
        <v>0</v>
      </c>
      <c r="AX207" s="1361">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61">
        <f t="shared" ref="AV208:AV302" si="127">A208</f>
        <v>0</v>
      </c>
      <c r="AW208" s="1361">
        <f t="shared" ref="AW208:AW302" si="128">B208</f>
        <v>0</v>
      </c>
      <c r="AX208" s="1361">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61">
        <f t="shared" si="127"/>
        <v>0</v>
      </c>
      <c r="AW209" s="1361">
        <f t="shared" si="128"/>
        <v>0</v>
      </c>
      <c r="AX209" s="1361">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61">
        <f t="shared" si="127"/>
        <v>0</v>
      </c>
      <c r="AW210" s="1361">
        <f t="shared" si="128"/>
        <v>0</v>
      </c>
      <c r="AX210" s="1361">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61">
        <f t="shared" si="127"/>
        <v>0</v>
      </c>
      <c r="AW211" s="1361">
        <f t="shared" si="128"/>
        <v>0</v>
      </c>
      <c r="AX211" s="1361">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61">
        <f t="shared" si="127"/>
        <v>0</v>
      </c>
      <c r="AW212" s="1361">
        <f t="shared" si="128"/>
        <v>0</v>
      </c>
      <c r="AX212" s="1361">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61">
        <f t="shared" si="127"/>
        <v>0</v>
      </c>
      <c r="AW213" s="1361">
        <f t="shared" si="128"/>
        <v>0</v>
      </c>
      <c r="AX213" s="1361">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61">
        <f t="shared" si="127"/>
        <v>0</v>
      </c>
      <c r="AW214" s="1361">
        <f t="shared" si="128"/>
        <v>0</v>
      </c>
      <c r="AX214" s="1361">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61">
        <f t="shared" si="127"/>
        <v>0</v>
      </c>
      <c r="AW215" s="1361">
        <f t="shared" si="128"/>
        <v>0</v>
      </c>
      <c r="AX215" s="1361">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61">
        <f t="shared" si="127"/>
        <v>0</v>
      </c>
      <c r="AW216" s="1361">
        <f t="shared" si="128"/>
        <v>0</v>
      </c>
      <c r="AX216" s="1361">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61">
        <f t="shared" si="127"/>
        <v>0</v>
      </c>
      <c r="AW217" s="1361">
        <f t="shared" si="128"/>
        <v>0</v>
      </c>
      <c r="AX217" s="1361">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61">
        <f t="shared" si="127"/>
        <v>0</v>
      </c>
      <c r="AW218" s="1361">
        <f t="shared" si="128"/>
        <v>0</v>
      </c>
      <c r="AX218" s="1361">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61">
        <f t="shared" si="127"/>
        <v>0</v>
      </c>
      <c r="AW219" s="1361">
        <f t="shared" si="128"/>
        <v>0</v>
      </c>
      <c r="AX219" s="1361">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61">
        <f t="shared" si="127"/>
        <v>0</v>
      </c>
      <c r="AW220" s="1361">
        <f t="shared" si="128"/>
        <v>0</v>
      </c>
      <c r="AX220" s="1361">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61">
        <f t="shared" si="127"/>
        <v>0</v>
      </c>
      <c r="AW221" s="1361">
        <f t="shared" si="128"/>
        <v>0</v>
      </c>
      <c r="AX221" s="1361">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61">
        <f t="shared" si="127"/>
        <v>0</v>
      </c>
      <c r="AW222" s="1361">
        <f t="shared" si="128"/>
        <v>0</v>
      </c>
      <c r="AX222" s="1361">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61">
        <f t="shared" si="127"/>
        <v>0</v>
      </c>
      <c r="AW223" s="1361">
        <f t="shared" si="128"/>
        <v>0</v>
      </c>
      <c r="AX223" s="1361">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61">
        <f t="shared" si="127"/>
        <v>0</v>
      </c>
      <c r="AW224" s="1361">
        <f t="shared" si="128"/>
        <v>0</v>
      </c>
      <c r="AX224" s="1361">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61">
        <f t="shared" si="127"/>
        <v>0</v>
      </c>
      <c r="AW225" s="1361">
        <f t="shared" si="128"/>
        <v>0</v>
      </c>
      <c r="AX225" s="1361">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61">
        <f t="shared" si="127"/>
        <v>0</v>
      </c>
      <c r="AW226" s="1361">
        <f t="shared" si="128"/>
        <v>0</v>
      </c>
      <c r="AX226" s="1361">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61">
        <f t="shared" si="127"/>
        <v>0</v>
      </c>
      <c r="AW227" s="1361">
        <f t="shared" si="128"/>
        <v>0</v>
      </c>
      <c r="AX227" s="1361">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61">
        <f t="shared" si="127"/>
        <v>0</v>
      </c>
      <c r="AW228" s="1361">
        <f t="shared" si="128"/>
        <v>0</v>
      </c>
      <c r="AX228" s="1361">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61">
        <f t="shared" si="127"/>
        <v>0</v>
      </c>
      <c r="AW229" s="1361">
        <f t="shared" si="128"/>
        <v>0</v>
      </c>
      <c r="AX229" s="1361">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61">
        <f t="shared" si="127"/>
        <v>0</v>
      </c>
      <c r="AW230" s="1361">
        <f t="shared" si="128"/>
        <v>0</v>
      </c>
      <c r="AX230" s="1361">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61">
        <f t="shared" si="127"/>
        <v>0</v>
      </c>
      <c r="AW231" s="1361">
        <f t="shared" si="128"/>
        <v>0</v>
      </c>
      <c r="AX231" s="1361">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61">
        <f t="shared" si="127"/>
        <v>0</v>
      </c>
      <c r="AW232" s="1361">
        <f t="shared" si="128"/>
        <v>0</v>
      </c>
      <c r="AX232" s="1361">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61">
        <f t="shared" si="127"/>
        <v>0</v>
      </c>
      <c r="AW233" s="1361">
        <f t="shared" si="128"/>
        <v>0</v>
      </c>
      <c r="AX233" s="1361">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61">
        <f t="shared" si="127"/>
        <v>0</v>
      </c>
      <c r="AW234" s="1361">
        <f t="shared" si="128"/>
        <v>0</v>
      </c>
      <c r="AX234" s="1361">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61">
        <f t="shared" si="127"/>
        <v>0</v>
      </c>
      <c r="AW235" s="1361">
        <f t="shared" si="128"/>
        <v>0</v>
      </c>
      <c r="AX235" s="1361">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61">
        <f t="shared" si="127"/>
        <v>0</v>
      </c>
      <c r="AW236" s="1361">
        <f t="shared" si="128"/>
        <v>0</v>
      </c>
      <c r="AX236" s="1361">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61">
        <f t="shared" si="127"/>
        <v>0</v>
      </c>
      <c r="AW237" s="1361">
        <f t="shared" si="128"/>
        <v>0</v>
      </c>
      <c r="AX237" s="1361">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61">
        <f t="shared" si="127"/>
        <v>0</v>
      </c>
      <c r="AW238" s="1361">
        <f t="shared" si="128"/>
        <v>0</v>
      </c>
      <c r="AX238" s="1361">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61">
        <f t="shared" si="127"/>
        <v>0</v>
      </c>
      <c r="AW239" s="1361">
        <f t="shared" si="128"/>
        <v>0</v>
      </c>
      <c r="AX239" s="1361">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61">
        <f t="shared" si="127"/>
        <v>0</v>
      </c>
      <c r="AW240" s="1361">
        <f t="shared" si="128"/>
        <v>0</v>
      </c>
      <c r="AX240" s="1361">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61">
        <f t="shared" si="127"/>
        <v>0</v>
      </c>
      <c r="AW241" s="1361">
        <f t="shared" si="128"/>
        <v>0</v>
      </c>
      <c r="AX241" s="1361">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61">
        <f t="shared" si="127"/>
        <v>0</v>
      </c>
      <c r="AW242" s="1361">
        <f t="shared" si="128"/>
        <v>0</v>
      </c>
      <c r="AX242" s="1361">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61">
        <f t="shared" si="127"/>
        <v>0</v>
      </c>
      <c r="AW243" s="1361">
        <f t="shared" si="128"/>
        <v>0</v>
      </c>
      <c r="AX243" s="1361">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61">
        <f t="shared" si="127"/>
        <v>0</v>
      </c>
      <c r="AW244" s="1361">
        <f t="shared" si="128"/>
        <v>0</v>
      </c>
      <c r="AX244" s="1361">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61">
        <f t="shared" si="127"/>
        <v>0</v>
      </c>
      <c r="AW245" s="1361">
        <f t="shared" si="128"/>
        <v>0</v>
      </c>
      <c r="AX245" s="1361">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61">
        <f t="shared" si="127"/>
        <v>0</v>
      </c>
      <c r="AW246" s="1361">
        <f t="shared" si="128"/>
        <v>0</v>
      </c>
      <c r="AX246" s="1361">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61">
        <f t="shared" si="127"/>
        <v>0</v>
      </c>
      <c r="AW247" s="1361">
        <f t="shared" si="128"/>
        <v>0</v>
      </c>
      <c r="AX247" s="1361">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61">
        <f t="shared" si="127"/>
        <v>0</v>
      </c>
      <c r="AW248" s="1361">
        <f t="shared" si="128"/>
        <v>0</v>
      </c>
      <c r="AX248" s="1361">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61">
        <f t="shared" si="127"/>
        <v>0</v>
      </c>
      <c r="AW249" s="1361">
        <f t="shared" si="128"/>
        <v>0</v>
      </c>
      <c r="AX249" s="1361">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61">
        <f t="shared" si="127"/>
        <v>0</v>
      </c>
      <c r="AW250" s="1361">
        <f t="shared" si="128"/>
        <v>0</v>
      </c>
      <c r="AX250" s="1361">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61">
        <f t="shared" si="127"/>
        <v>0</v>
      </c>
      <c r="AW251" s="1361">
        <f t="shared" si="128"/>
        <v>0</v>
      </c>
      <c r="AX251" s="1361">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61">
        <f t="shared" si="127"/>
        <v>0</v>
      </c>
      <c r="AW252" s="1361">
        <f t="shared" si="128"/>
        <v>0</v>
      </c>
      <c r="AX252" s="1361">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61">
        <f t="shared" si="127"/>
        <v>0</v>
      </c>
      <c r="AW253" s="1361">
        <f t="shared" si="128"/>
        <v>0</v>
      </c>
      <c r="AX253" s="1361">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61">
        <f t="shared" si="127"/>
        <v>0</v>
      </c>
      <c r="AW254" s="1361">
        <f t="shared" si="128"/>
        <v>0</v>
      </c>
      <c r="AX254" s="1361">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61">
        <f t="shared" si="127"/>
        <v>0</v>
      </c>
      <c r="AW255" s="1361">
        <f t="shared" si="128"/>
        <v>0</v>
      </c>
      <c r="AX255" s="1361">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61">
        <f t="shared" si="127"/>
        <v>0</v>
      </c>
      <c r="AW256" s="1361">
        <f t="shared" si="128"/>
        <v>0</v>
      </c>
      <c r="AX256" s="1361">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61">
        <f t="shared" si="127"/>
        <v>0</v>
      </c>
      <c r="AW257" s="1361">
        <f t="shared" si="128"/>
        <v>0</v>
      </c>
      <c r="AX257" s="1361">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61">
        <f t="shared" si="127"/>
        <v>0</v>
      </c>
      <c r="AW258" s="1361">
        <f t="shared" si="128"/>
        <v>0</v>
      </c>
      <c r="AX258" s="1361">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61">
        <f t="shared" si="127"/>
        <v>0</v>
      </c>
      <c r="AW259" s="1361">
        <f t="shared" si="128"/>
        <v>0</v>
      </c>
      <c r="AX259" s="1361">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61">
        <f t="shared" si="127"/>
        <v>0</v>
      </c>
      <c r="AW260" s="1361">
        <f t="shared" si="128"/>
        <v>0</v>
      </c>
      <c r="AX260" s="1361">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61">
        <f t="shared" si="127"/>
        <v>0</v>
      </c>
      <c r="AW261" s="1361">
        <f t="shared" si="128"/>
        <v>0</v>
      </c>
      <c r="AX261" s="1361">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61">
        <f t="shared" si="127"/>
        <v>0</v>
      </c>
      <c r="AW262" s="1361">
        <f t="shared" si="128"/>
        <v>0</v>
      </c>
      <c r="AX262" s="1361">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61">
        <f t="shared" si="127"/>
        <v>0</v>
      </c>
      <c r="AW263" s="1361">
        <f t="shared" si="128"/>
        <v>0</v>
      </c>
      <c r="AX263" s="1361">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61">
        <f t="shared" si="127"/>
        <v>0</v>
      </c>
      <c r="AW264" s="1361">
        <f t="shared" si="128"/>
        <v>0</v>
      </c>
      <c r="AX264" s="1361">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61">
        <f t="shared" si="127"/>
        <v>0</v>
      </c>
      <c r="AW265" s="1361">
        <f t="shared" si="128"/>
        <v>0</v>
      </c>
      <c r="AX265" s="1361">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61">
        <f t="shared" si="127"/>
        <v>0</v>
      </c>
      <c r="AW266" s="1361">
        <f t="shared" si="128"/>
        <v>0</v>
      </c>
      <c r="AX266" s="1361">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61">
        <f t="shared" si="127"/>
        <v>0</v>
      </c>
      <c r="AW267" s="1361">
        <f t="shared" si="128"/>
        <v>0</v>
      </c>
      <c r="AX267" s="1361">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61">
        <f t="shared" si="127"/>
        <v>0</v>
      </c>
      <c r="AW268" s="1361">
        <f t="shared" si="128"/>
        <v>0</v>
      </c>
      <c r="AX268" s="1361">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61">
        <f t="shared" si="127"/>
        <v>0</v>
      </c>
      <c r="AW269" s="1361">
        <f t="shared" si="128"/>
        <v>0</v>
      </c>
      <c r="AX269" s="1361">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61">
        <f t="shared" si="127"/>
        <v>0</v>
      </c>
      <c r="AW270" s="1361">
        <f t="shared" si="128"/>
        <v>0</v>
      </c>
      <c r="AX270" s="1361">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61">
        <f t="shared" si="127"/>
        <v>0</v>
      </c>
      <c r="AW271" s="1361">
        <f t="shared" si="128"/>
        <v>0</v>
      </c>
      <c r="AX271" s="1361">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61">
        <f t="shared" si="127"/>
        <v>0</v>
      </c>
      <c r="AW272" s="1361">
        <f t="shared" si="128"/>
        <v>0</v>
      </c>
      <c r="AX272" s="1361">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61">
        <f t="shared" si="127"/>
        <v>0</v>
      </c>
      <c r="AW273" s="1361">
        <f t="shared" si="128"/>
        <v>0</v>
      </c>
      <c r="AX273" s="1361">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61">
        <f t="shared" si="127"/>
        <v>0</v>
      </c>
      <c r="AW274" s="1361">
        <f t="shared" si="128"/>
        <v>0</v>
      </c>
      <c r="AX274" s="1361">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61">
        <f t="shared" si="127"/>
        <v>0</v>
      </c>
      <c r="AW275" s="1361">
        <f t="shared" si="128"/>
        <v>0</v>
      </c>
      <c r="AX275" s="1361">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61">
        <f t="shared" si="127"/>
        <v>0</v>
      </c>
      <c r="AW276" s="1361">
        <f t="shared" si="128"/>
        <v>0</v>
      </c>
      <c r="AX276" s="1361">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61">
        <f t="shared" si="127"/>
        <v>0</v>
      </c>
      <c r="AW277" s="1361">
        <f t="shared" si="128"/>
        <v>0</v>
      </c>
      <c r="AX277" s="1361">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61">
        <f t="shared" si="127"/>
        <v>0</v>
      </c>
      <c r="AW278" s="1361">
        <f t="shared" si="128"/>
        <v>0</v>
      </c>
      <c r="AX278" s="1361">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61">
        <f t="shared" si="127"/>
        <v>0</v>
      </c>
      <c r="AW279" s="1361">
        <f t="shared" si="128"/>
        <v>0</v>
      </c>
      <c r="AX279" s="1361">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61">
        <f t="shared" si="127"/>
        <v>0</v>
      </c>
      <c r="AW280" s="1361">
        <f t="shared" si="128"/>
        <v>0</v>
      </c>
      <c r="AX280" s="1361">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61">
        <f t="shared" si="127"/>
        <v>0</v>
      </c>
      <c r="AW281" s="1361">
        <f t="shared" si="128"/>
        <v>0</v>
      </c>
      <c r="AX281" s="1361">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61">
        <f t="shared" si="127"/>
        <v>0</v>
      </c>
      <c r="AW282" s="1361">
        <f t="shared" si="128"/>
        <v>0</v>
      </c>
      <c r="AX282" s="1361">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61">
        <f t="shared" si="127"/>
        <v>0</v>
      </c>
      <c r="AW283" s="1361">
        <f t="shared" si="128"/>
        <v>0</v>
      </c>
      <c r="AX283" s="1361">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61">
        <f t="shared" si="127"/>
        <v>0</v>
      </c>
      <c r="AW284" s="1361">
        <f t="shared" si="128"/>
        <v>0</v>
      </c>
      <c r="AX284" s="1361">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61">
        <f t="shared" si="127"/>
        <v>0</v>
      </c>
      <c r="AW285" s="1361">
        <f t="shared" si="128"/>
        <v>0</v>
      </c>
      <c r="AX285" s="1361">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61">
        <f t="shared" si="127"/>
        <v>0</v>
      </c>
      <c r="AW286" s="1361">
        <f t="shared" si="128"/>
        <v>0</v>
      </c>
      <c r="AX286" s="1361">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61">
        <f t="shared" si="127"/>
        <v>0</v>
      </c>
      <c r="AW287" s="1361">
        <f t="shared" si="128"/>
        <v>0</v>
      </c>
      <c r="AX287" s="1361">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61">
        <f t="shared" si="127"/>
        <v>0</v>
      </c>
      <c r="AW288" s="1361">
        <f t="shared" si="128"/>
        <v>0</v>
      </c>
      <c r="AX288" s="1361">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61">
        <f t="shared" si="127"/>
        <v>0</v>
      </c>
      <c r="AW289" s="1361">
        <f t="shared" si="128"/>
        <v>0</v>
      </c>
      <c r="AX289" s="1361">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61">
        <f t="shared" si="127"/>
        <v>0</v>
      </c>
      <c r="AW290" s="1361">
        <f t="shared" si="128"/>
        <v>0</v>
      </c>
      <c r="AX290" s="1361">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61">
        <f t="shared" si="127"/>
        <v>0</v>
      </c>
      <c r="AW291" s="1361">
        <f t="shared" si="128"/>
        <v>0</v>
      </c>
      <c r="AX291" s="1361">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61">
        <f t="shared" si="127"/>
        <v>0</v>
      </c>
      <c r="AW292" s="1361">
        <f t="shared" si="128"/>
        <v>0</v>
      </c>
      <c r="AX292" s="1361">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61">
        <f t="shared" si="127"/>
        <v>0</v>
      </c>
      <c r="AW293" s="1361">
        <f t="shared" si="128"/>
        <v>0</v>
      </c>
      <c r="AX293" s="1361">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61">
        <f t="shared" si="127"/>
        <v>0</v>
      </c>
      <c r="AW294" s="1361">
        <f t="shared" si="128"/>
        <v>0</v>
      </c>
      <c r="AX294" s="1361">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61">
        <f t="shared" si="127"/>
        <v>0</v>
      </c>
      <c r="AW295" s="1361">
        <f t="shared" si="128"/>
        <v>0</v>
      </c>
      <c r="AX295" s="1361">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61">
        <f t="shared" si="127"/>
        <v>0</v>
      </c>
      <c r="AW296" s="1361">
        <f t="shared" si="128"/>
        <v>0</v>
      </c>
      <c r="AX296" s="1361">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61">
        <f t="shared" si="127"/>
        <v>0</v>
      </c>
      <c r="AW297" s="1361">
        <f t="shared" si="128"/>
        <v>0</v>
      </c>
      <c r="AX297" s="1361">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61">
        <f t="shared" si="127"/>
        <v>0</v>
      </c>
      <c r="AW298" s="1361">
        <f t="shared" si="128"/>
        <v>0</v>
      </c>
      <c r="AX298" s="1361">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61">
        <f t="shared" si="127"/>
        <v>0</v>
      </c>
      <c r="AW299" s="1361">
        <f t="shared" si="128"/>
        <v>0</v>
      </c>
      <c r="AX299" s="1361">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61">
        <f t="shared" si="127"/>
        <v>0</v>
      </c>
      <c r="AW300" s="1361">
        <f t="shared" si="128"/>
        <v>0</v>
      </c>
      <c r="AX300" s="1361">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61">
        <f t="shared" si="127"/>
        <v>0</v>
      </c>
      <c r="AW301" s="1361">
        <f t="shared" si="128"/>
        <v>0</v>
      </c>
      <c r="AX301" s="1361">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61">
        <f t="shared" si="127"/>
        <v>0</v>
      </c>
      <c r="AW302" s="1361">
        <f t="shared" si="128"/>
        <v>0</v>
      </c>
      <c r="AX302" s="1361">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61">
        <f t="shared" ref="AV303:AV334" si="178">A303</f>
        <v>0</v>
      </c>
      <c r="AW303" s="1361">
        <f t="shared" ref="AW303:AW334" si="179">B303</f>
        <v>0</v>
      </c>
      <c r="AX303" s="1361">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61">
        <f t="shared" si="178"/>
        <v>0</v>
      </c>
      <c r="AW304" s="1361">
        <f t="shared" si="179"/>
        <v>0</v>
      </c>
      <c r="AX304" s="1361">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61">
        <f t="shared" si="178"/>
        <v>0</v>
      </c>
      <c r="AW305" s="1361">
        <f t="shared" si="179"/>
        <v>0</v>
      </c>
      <c r="AX305" s="1361">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61">
        <f t="shared" si="178"/>
        <v>0</v>
      </c>
      <c r="AW306" s="1361">
        <f t="shared" si="179"/>
        <v>0</v>
      </c>
      <c r="AX306" s="1361">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61">
        <f t="shared" si="178"/>
        <v>0</v>
      </c>
      <c r="AW307" s="1361">
        <f t="shared" si="179"/>
        <v>0</v>
      </c>
      <c r="AX307" s="1361">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61">
        <f t="shared" si="178"/>
        <v>0</v>
      </c>
      <c r="AW308" s="1361">
        <f t="shared" si="179"/>
        <v>0</v>
      </c>
      <c r="AX308" s="1361">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61">
        <f t="shared" si="178"/>
        <v>0</v>
      </c>
      <c r="AW309" s="1361">
        <f t="shared" si="179"/>
        <v>0</v>
      </c>
      <c r="AX309" s="1361">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61">
        <f t="shared" si="178"/>
        <v>0</v>
      </c>
      <c r="AW310" s="1361">
        <f t="shared" si="179"/>
        <v>0</v>
      </c>
      <c r="AX310" s="1361">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61">
        <f t="shared" si="178"/>
        <v>0</v>
      </c>
      <c r="AW311" s="1361">
        <f t="shared" si="179"/>
        <v>0</v>
      </c>
      <c r="AX311" s="1361">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61">
        <f t="shared" si="178"/>
        <v>0</v>
      </c>
      <c r="AW312" s="1361">
        <f t="shared" si="179"/>
        <v>0</v>
      </c>
      <c r="AX312" s="1361">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61">
        <f t="shared" si="178"/>
        <v>0</v>
      </c>
      <c r="AW313" s="1361">
        <f t="shared" si="179"/>
        <v>0</v>
      </c>
      <c r="AX313" s="1361">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61">
        <f t="shared" si="178"/>
        <v>0</v>
      </c>
      <c r="AW314" s="1361">
        <f t="shared" si="179"/>
        <v>0</v>
      </c>
      <c r="AX314" s="1361">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61">
        <f t="shared" si="178"/>
        <v>0</v>
      </c>
      <c r="AW315" s="1361">
        <f t="shared" si="179"/>
        <v>0</v>
      </c>
      <c r="AX315" s="1361">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61">
        <f t="shared" si="178"/>
        <v>0</v>
      </c>
      <c r="AW316" s="1361">
        <f t="shared" si="179"/>
        <v>0</v>
      </c>
      <c r="AX316" s="1361">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61">
        <f t="shared" si="178"/>
        <v>0</v>
      </c>
      <c r="AW317" s="1361">
        <f t="shared" si="179"/>
        <v>0</v>
      </c>
      <c r="AX317" s="1361">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61">
        <f t="shared" si="178"/>
        <v>0</v>
      </c>
      <c r="AW318" s="1361">
        <f t="shared" si="179"/>
        <v>0</v>
      </c>
      <c r="AX318" s="1361">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61">
        <f t="shared" si="178"/>
        <v>0</v>
      </c>
      <c r="AW319" s="1361">
        <f t="shared" si="179"/>
        <v>0</v>
      </c>
      <c r="AX319" s="1361">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61">
        <f t="shared" si="178"/>
        <v>0</v>
      </c>
      <c r="AW320" s="1361">
        <f t="shared" si="179"/>
        <v>0</v>
      </c>
      <c r="AX320" s="1361">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61">
        <f t="shared" si="178"/>
        <v>0</v>
      </c>
      <c r="AW321" s="1361">
        <f t="shared" si="179"/>
        <v>0</v>
      </c>
      <c r="AX321" s="1361">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61">
        <f t="shared" si="178"/>
        <v>0</v>
      </c>
      <c r="AW322" s="1361">
        <f t="shared" si="179"/>
        <v>0</v>
      </c>
      <c r="AX322" s="1361">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61">
        <f t="shared" si="178"/>
        <v>0</v>
      </c>
      <c r="AW323" s="1361">
        <f t="shared" si="179"/>
        <v>0</v>
      </c>
      <c r="AX323" s="1361">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61">
        <f t="shared" si="178"/>
        <v>0</v>
      </c>
      <c r="AW324" s="1361">
        <f t="shared" si="179"/>
        <v>0</v>
      </c>
      <c r="AX324" s="1361">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61">
        <f t="shared" si="178"/>
        <v>0</v>
      </c>
      <c r="AW325" s="1361">
        <f t="shared" si="179"/>
        <v>0</v>
      </c>
      <c r="AX325" s="1361">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61">
        <f t="shared" si="178"/>
        <v>0</v>
      </c>
      <c r="AW326" s="1361">
        <f t="shared" si="179"/>
        <v>0</v>
      </c>
      <c r="AX326" s="1361">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61">
        <f t="shared" si="178"/>
        <v>0</v>
      </c>
      <c r="AW327" s="1361">
        <f t="shared" si="179"/>
        <v>0</v>
      </c>
      <c r="AX327" s="1361">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61">
        <f t="shared" si="178"/>
        <v>0</v>
      </c>
      <c r="AW328" s="1361">
        <f t="shared" si="179"/>
        <v>0</v>
      </c>
      <c r="AX328" s="1361">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61">
        <f t="shared" si="178"/>
        <v>0</v>
      </c>
      <c r="AW329" s="1361">
        <f t="shared" si="179"/>
        <v>0</v>
      </c>
      <c r="AX329" s="1361">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61">
        <f t="shared" si="178"/>
        <v>0</v>
      </c>
      <c r="AW330" s="1361">
        <f t="shared" si="179"/>
        <v>0</v>
      </c>
      <c r="AX330" s="1361">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61">
        <f t="shared" si="178"/>
        <v>0</v>
      </c>
      <c r="AW331" s="1361">
        <f t="shared" si="179"/>
        <v>0</v>
      </c>
      <c r="AX331" s="1361">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61">
        <f t="shared" si="178"/>
        <v>0</v>
      </c>
      <c r="AW332" s="1361">
        <f t="shared" si="179"/>
        <v>0</v>
      </c>
      <c r="AX332" s="1361">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61">
        <f t="shared" si="178"/>
        <v>0</v>
      </c>
      <c r="AW333" s="1361">
        <f t="shared" si="179"/>
        <v>0</v>
      </c>
      <c r="AX333" s="1361">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61">
        <f t="shared" si="178"/>
        <v>0</v>
      </c>
      <c r="AW334" s="1361">
        <f t="shared" si="179"/>
        <v>0</v>
      </c>
      <c r="AX334" s="1361">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61">
        <f t="shared" ref="AV335:AV366" si="207">A335</f>
        <v>0</v>
      </c>
      <c r="AW335" s="1361">
        <f t="shared" ref="AW335:AW366" si="208">B335</f>
        <v>0</v>
      </c>
      <c r="AX335" s="1361">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61">
        <f t="shared" si="207"/>
        <v>0</v>
      </c>
      <c r="AW336" s="1361">
        <f t="shared" si="208"/>
        <v>0</v>
      </c>
      <c r="AX336" s="1361">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61">
        <f t="shared" si="207"/>
        <v>0</v>
      </c>
      <c r="AW337" s="1361">
        <f t="shared" si="208"/>
        <v>0</v>
      </c>
      <c r="AX337" s="1361">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61">
        <f t="shared" si="207"/>
        <v>0</v>
      </c>
      <c r="AW338" s="1361">
        <f t="shared" si="208"/>
        <v>0</v>
      </c>
      <c r="AX338" s="1361">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61">
        <f t="shared" si="207"/>
        <v>0</v>
      </c>
      <c r="AW339" s="1361">
        <f t="shared" si="208"/>
        <v>0</v>
      </c>
      <c r="AX339" s="1361">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61">
        <f t="shared" si="207"/>
        <v>0</v>
      </c>
      <c r="AW340" s="1361">
        <f t="shared" si="208"/>
        <v>0</v>
      </c>
      <c r="AX340" s="1361">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61">
        <f t="shared" si="207"/>
        <v>0</v>
      </c>
      <c r="AW341" s="1361">
        <f t="shared" si="208"/>
        <v>0</v>
      </c>
      <c r="AX341" s="1361">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61">
        <f t="shared" si="207"/>
        <v>0</v>
      </c>
      <c r="AW342" s="1361">
        <f t="shared" si="208"/>
        <v>0</v>
      </c>
      <c r="AX342" s="1361">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61">
        <f t="shared" si="207"/>
        <v>0</v>
      </c>
      <c r="AW343" s="1361">
        <f t="shared" si="208"/>
        <v>0</v>
      </c>
      <c r="AX343" s="1361">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61">
        <f t="shared" si="207"/>
        <v>0</v>
      </c>
      <c r="AW344" s="1361">
        <f t="shared" si="208"/>
        <v>0</v>
      </c>
      <c r="AX344" s="1361">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61">
        <f t="shared" si="207"/>
        <v>0</v>
      </c>
      <c r="AW345" s="1361">
        <f t="shared" si="208"/>
        <v>0</v>
      </c>
      <c r="AX345" s="1361">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61">
        <f t="shared" si="207"/>
        <v>0</v>
      </c>
      <c r="AW346" s="1361">
        <f t="shared" si="208"/>
        <v>0</v>
      </c>
      <c r="AX346" s="1361">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61">
        <f t="shared" si="207"/>
        <v>0</v>
      </c>
      <c r="AW347" s="1361">
        <f t="shared" si="208"/>
        <v>0</v>
      </c>
      <c r="AX347" s="1361">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61">
        <f t="shared" si="207"/>
        <v>0</v>
      </c>
      <c r="AW348" s="1361">
        <f t="shared" si="208"/>
        <v>0</v>
      </c>
      <c r="AX348" s="1361">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61">
        <f t="shared" si="207"/>
        <v>0</v>
      </c>
      <c r="AW349" s="1361">
        <f t="shared" si="208"/>
        <v>0</v>
      </c>
      <c r="AX349" s="1361">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61">
        <f t="shared" si="207"/>
        <v>0</v>
      </c>
      <c r="AW350" s="1361">
        <f t="shared" si="208"/>
        <v>0</v>
      </c>
      <c r="AX350" s="1361">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61">
        <f t="shared" si="207"/>
        <v>0</v>
      </c>
      <c r="AW351" s="1361">
        <f t="shared" si="208"/>
        <v>0</v>
      </c>
      <c r="AX351" s="1361">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61">
        <f t="shared" si="207"/>
        <v>0</v>
      </c>
      <c r="AW352" s="1361">
        <f t="shared" si="208"/>
        <v>0</v>
      </c>
      <c r="AX352" s="1361">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61">
        <f t="shared" si="207"/>
        <v>0</v>
      </c>
      <c r="AW353" s="1361">
        <f t="shared" si="208"/>
        <v>0</v>
      </c>
      <c r="AX353" s="1361">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61">
        <f t="shared" si="207"/>
        <v>0</v>
      </c>
      <c r="AW354" s="1361">
        <f t="shared" si="208"/>
        <v>0</v>
      </c>
      <c r="AX354" s="1361">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61">
        <f t="shared" si="207"/>
        <v>0</v>
      </c>
      <c r="AW355" s="1361">
        <f t="shared" si="208"/>
        <v>0</v>
      </c>
      <c r="AX355" s="1361">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61">
        <f t="shared" si="207"/>
        <v>0</v>
      </c>
      <c r="AW356" s="1361">
        <f t="shared" si="208"/>
        <v>0</v>
      </c>
      <c r="AX356" s="1361">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61">
        <f t="shared" si="207"/>
        <v>0</v>
      </c>
      <c r="AW357" s="1361">
        <f t="shared" si="208"/>
        <v>0</v>
      </c>
      <c r="AX357" s="1361">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61">
        <f t="shared" si="207"/>
        <v>0</v>
      </c>
      <c r="AW358" s="1361">
        <f t="shared" si="208"/>
        <v>0</v>
      </c>
      <c r="AX358" s="1361">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61">
        <f t="shared" si="207"/>
        <v>0</v>
      </c>
      <c r="AW359" s="1361">
        <f t="shared" si="208"/>
        <v>0</v>
      </c>
      <c r="AX359" s="1361">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61">
        <f t="shared" si="207"/>
        <v>0</v>
      </c>
      <c r="AW360" s="1361">
        <f t="shared" si="208"/>
        <v>0</v>
      </c>
      <c r="AX360" s="1361">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61">
        <f t="shared" si="207"/>
        <v>0</v>
      </c>
      <c r="AW361" s="1361">
        <f t="shared" si="208"/>
        <v>0</v>
      </c>
      <c r="AX361" s="1361">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61">
        <f t="shared" si="207"/>
        <v>0</v>
      </c>
      <c r="AW362" s="1361">
        <f t="shared" si="208"/>
        <v>0</v>
      </c>
      <c r="AX362" s="1361">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61">
        <f t="shared" si="207"/>
        <v>0</v>
      </c>
      <c r="AW363" s="1361">
        <f t="shared" si="208"/>
        <v>0</v>
      </c>
      <c r="AX363" s="1361">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61">
        <f t="shared" si="207"/>
        <v>0</v>
      </c>
      <c r="AW364" s="1361">
        <f t="shared" si="208"/>
        <v>0</v>
      </c>
      <c r="AX364" s="1361">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61">
        <f t="shared" si="207"/>
        <v>0</v>
      </c>
      <c r="AW365" s="1361">
        <f t="shared" si="208"/>
        <v>0</v>
      </c>
      <c r="AX365" s="1361">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61">
        <f t="shared" si="207"/>
        <v>0</v>
      </c>
      <c r="AW366" s="1361">
        <f t="shared" si="208"/>
        <v>0</v>
      </c>
      <c r="AX366" s="1361">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61">
        <f t="shared" ref="AV367:AV397" si="236">A367</f>
        <v>0</v>
      </c>
      <c r="AW367" s="1361">
        <f t="shared" ref="AW367:AW397" si="237">B367</f>
        <v>0</v>
      </c>
      <c r="AX367" s="1361">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61">
        <f t="shared" si="236"/>
        <v>0</v>
      </c>
      <c r="AW368" s="1361">
        <f t="shared" si="237"/>
        <v>0</v>
      </c>
      <c r="AX368" s="1361">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61">
        <f t="shared" si="236"/>
        <v>0</v>
      </c>
      <c r="AW369" s="1361">
        <f t="shared" si="237"/>
        <v>0</v>
      </c>
      <c r="AX369" s="1361">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61">
        <f t="shared" si="236"/>
        <v>0</v>
      </c>
      <c r="AW370" s="1361">
        <f t="shared" si="237"/>
        <v>0</v>
      </c>
      <c r="AX370" s="1361">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61">
        <f t="shared" si="236"/>
        <v>0</v>
      </c>
      <c r="AW371" s="1361">
        <f t="shared" si="237"/>
        <v>0</v>
      </c>
      <c r="AX371" s="1361">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61">
        <f t="shared" si="236"/>
        <v>0</v>
      </c>
      <c r="AW372" s="1361">
        <f t="shared" si="237"/>
        <v>0</v>
      </c>
      <c r="AX372" s="1361">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61">
        <f t="shared" si="236"/>
        <v>0</v>
      </c>
      <c r="AW373" s="1361">
        <f t="shared" si="237"/>
        <v>0</v>
      </c>
      <c r="AX373" s="1361">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61">
        <f t="shared" si="236"/>
        <v>0</v>
      </c>
      <c r="AW374" s="1361">
        <f t="shared" si="237"/>
        <v>0</v>
      </c>
      <c r="AX374" s="1361">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61">
        <f t="shared" si="236"/>
        <v>0</v>
      </c>
      <c r="AW375" s="1361">
        <f t="shared" si="237"/>
        <v>0</v>
      </c>
      <c r="AX375" s="1361">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61">
        <f t="shared" si="236"/>
        <v>0</v>
      </c>
      <c r="AW376" s="1361">
        <f t="shared" si="237"/>
        <v>0</v>
      </c>
      <c r="AX376" s="1361">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61">
        <f t="shared" si="236"/>
        <v>0</v>
      </c>
      <c r="AW377" s="1361">
        <f t="shared" si="237"/>
        <v>0</v>
      </c>
      <c r="AX377" s="1361">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61">
        <f t="shared" si="236"/>
        <v>0</v>
      </c>
      <c r="AW378" s="1361">
        <f t="shared" si="237"/>
        <v>0</v>
      </c>
      <c r="AX378" s="1361">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61">
        <f t="shared" si="236"/>
        <v>0</v>
      </c>
      <c r="AW379" s="1361">
        <f t="shared" si="237"/>
        <v>0</v>
      </c>
      <c r="AX379" s="1361">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61">
        <f t="shared" si="236"/>
        <v>0</v>
      </c>
      <c r="AW380" s="1361">
        <f t="shared" si="237"/>
        <v>0</v>
      </c>
      <c r="AX380" s="1361">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61">
        <f t="shared" si="236"/>
        <v>0</v>
      </c>
      <c r="AW381" s="1361">
        <f t="shared" si="237"/>
        <v>0</v>
      </c>
      <c r="AX381" s="1361">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61">
        <f t="shared" si="236"/>
        <v>0</v>
      </c>
      <c r="AW382" s="1361">
        <f t="shared" si="237"/>
        <v>0</v>
      </c>
      <c r="AX382" s="1361">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61">
        <f t="shared" si="236"/>
        <v>0</v>
      </c>
      <c r="AW383" s="1361">
        <f t="shared" si="237"/>
        <v>0</v>
      </c>
      <c r="AX383" s="1361">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61">
        <f t="shared" si="236"/>
        <v>0</v>
      </c>
      <c r="AW384" s="1361">
        <f t="shared" si="237"/>
        <v>0</v>
      </c>
      <c r="AX384" s="1361">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61">
        <f t="shared" si="236"/>
        <v>0</v>
      </c>
      <c r="AW385" s="1361">
        <f t="shared" si="237"/>
        <v>0</v>
      </c>
      <c r="AX385" s="1361">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61">
        <f t="shared" si="236"/>
        <v>0</v>
      </c>
      <c r="AW386" s="1361">
        <f t="shared" si="237"/>
        <v>0</v>
      </c>
      <c r="AX386" s="1361">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61">
        <f t="shared" si="236"/>
        <v>0</v>
      </c>
      <c r="AW387" s="1361">
        <f t="shared" si="237"/>
        <v>0</v>
      </c>
      <c r="AX387" s="1361">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61">
        <f t="shared" si="236"/>
        <v>0</v>
      </c>
      <c r="AW388" s="1361">
        <f t="shared" si="237"/>
        <v>0</v>
      </c>
      <c r="AX388" s="1361">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61">
        <f t="shared" si="236"/>
        <v>0</v>
      </c>
      <c r="AW389" s="1361">
        <f t="shared" si="237"/>
        <v>0</v>
      </c>
      <c r="AX389" s="1361">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61">
        <f t="shared" si="236"/>
        <v>0</v>
      </c>
      <c r="AW390" s="1361">
        <f t="shared" si="237"/>
        <v>0</v>
      </c>
      <c r="AX390" s="1361">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61">
        <f t="shared" si="236"/>
        <v>0</v>
      </c>
      <c r="AW391" s="1361">
        <f t="shared" si="237"/>
        <v>0</v>
      </c>
      <c r="AX391" s="1361">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61">
        <f t="shared" si="236"/>
        <v>0</v>
      </c>
      <c r="AW392" s="1361">
        <f t="shared" si="237"/>
        <v>0</v>
      </c>
      <c r="AX392" s="1361">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61">
        <f t="shared" si="236"/>
        <v>0</v>
      </c>
      <c r="AW393" s="1361">
        <f t="shared" si="237"/>
        <v>0</v>
      </c>
      <c r="AX393" s="1361">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61">
        <f t="shared" si="236"/>
        <v>0</v>
      </c>
      <c r="AW394" s="1361">
        <f t="shared" si="237"/>
        <v>0</v>
      </c>
      <c r="AX394" s="1361">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61">
        <f t="shared" si="236"/>
        <v>0</v>
      </c>
      <c r="AW395" s="1361">
        <f t="shared" si="237"/>
        <v>0</v>
      </c>
      <c r="AX395" s="1361">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61">
        <f t="shared" si="236"/>
        <v>0</v>
      </c>
      <c r="AW396" s="1361">
        <f t="shared" si="237"/>
        <v>0</v>
      </c>
      <c r="AX396" s="1361">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61">
        <f t="shared" si="236"/>
        <v>0</v>
      </c>
      <c r="AW397" s="1361">
        <f t="shared" si="237"/>
        <v>0</v>
      </c>
      <c r="AX397" s="1361">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61">
        <f t="shared" ref="AV398:AV492" si="243">A398</f>
        <v>0</v>
      </c>
      <c r="AW398" s="1361">
        <f t="shared" ref="AW398:AW492" si="244">B398</f>
        <v>0</v>
      </c>
      <c r="AX398" s="1361">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61">
        <f t="shared" si="243"/>
        <v>0</v>
      </c>
      <c r="AW399" s="1361">
        <f t="shared" si="244"/>
        <v>0</v>
      </c>
      <c r="AX399" s="1361">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61">
        <f t="shared" si="243"/>
        <v>0</v>
      </c>
      <c r="AW400" s="1361">
        <f t="shared" si="244"/>
        <v>0</v>
      </c>
      <c r="AX400" s="1361">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61">
        <f t="shared" si="243"/>
        <v>0</v>
      </c>
      <c r="AW401" s="1361">
        <f t="shared" si="244"/>
        <v>0</v>
      </c>
      <c r="AX401" s="1361">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61">
        <f t="shared" si="243"/>
        <v>0</v>
      </c>
      <c r="AW402" s="1361">
        <f t="shared" si="244"/>
        <v>0</v>
      </c>
      <c r="AX402" s="1361">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61">
        <f t="shared" si="243"/>
        <v>0</v>
      </c>
      <c r="AW403" s="1361">
        <f t="shared" si="244"/>
        <v>0</v>
      </c>
      <c r="AX403" s="1361">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61">
        <f t="shared" si="243"/>
        <v>0</v>
      </c>
      <c r="AW404" s="1361">
        <f t="shared" si="244"/>
        <v>0</v>
      </c>
      <c r="AX404" s="1361">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61">
        <f t="shared" si="243"/>
        <v>0</v>
      </c>
      <c r="AW405" s="1361">
        <f t="shared" si="244"/>
        <v>0</v>
      </c>
      <c r="AX405" s="1361">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61">
        <f t="shared" si="243"/>
        <v>0</v>
      </c>
      <c r="AW406" s="1361">
        <f t="shared" si="244"/>
        <v>0</v>
      </c>
      <c r="AX406" s="1361">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61">
        <f t="shared" si="243"/>
        <v>0</v>
      </c>
      <c r="AW407" s="1361">
        <f t="shared" si="244"/>
        <v>0</v>
      </c>
      <c r="AX407" s="1361">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61">
        <f t="shared" si="243"/>
        <v>0</v>
      </c>
      <c r="AW408" s="1361">
        <f t="shared" si="244"/>
        <v>0</v>
      </c>
      <c r="AX408" s="1361">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61">
        <f t="shared" si="243"/>
        <v>0</v>
      </c>
      <c r="AW409" s="1361">
        <f t="shared" si="244"/>
        <v>0</v>
      </c>
      <c r="AX409" s="1361">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61">
        <f t="shared" si="243"/>
        <v>0</v>
      </c>
      <c r="AW410" s="1361">
        <f t="shared" si="244"/>
        <v>0</v>
      </c>
      <c r="AX410" s="1361">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61">
        <f t="shared" si="243"/>
        <v>0</v>
      </c>
      <c r="AW411" s="1361">
        <f t="shared" si="244"/>
        <v>0</v>
      </c>
      <c r="AX411" s="1361">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61">
        <f t="shared" si="243"/>
        <v>0</v>
      </c>
      <c r="AW412" s="1361">
        <f t="shared" si="244"/>
        <v>0</v>
      </c>
      <c r="AX412" s="1361">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61">
        <f t="shared" si="243"/>
        <v>0</v>
      </c>
      <c r="AW413" s="1361">
        <f t="shared" si="244"/>
        <v>0</v>
      </c>
      <c r="AX413" s="1361">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61">
        <f t="shared" si="243"/>
        <v>0</v>
      </c>
      <c r="AW414" s="1361">
        <f t="shared" si="244"/>
        <v>0</v>
      </c>
      <c r="AX414" s="1361">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61">
        <f t="shared" si="243"/>
        <v>0</v>
      </c>
      <c r="AW415" s="1361">
        <f t="shared" si="244"/>
        <v>0</v>
      </c>
      <c r="AX415" s="1361">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61">
        <f t="shared" si="243"/>
        <v>0</v>
      </c>
      <c r="AW416" s="1361">
        <f t="shared" si="244"/>
        <v>0</v>
      </c>
      <c r="AX416" s="1361">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61">
        <f t="shared" si="243"/>
        <v>0</v>
      </c>
      <c r="AW417" s="1361">
        <f t="shared" si="244"/>
        <v>0</v>
      </c>
      <c r="AX417" s="1361">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61">
        <f t="shared" si="243"/>
        <v>0</v>
      </c>
      <c r="AW418" s="1361">
        <f t="shared" si="244"/>
        <v>0</v>
      </c>
      <c r="AX418" s="1361">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61">
        <f t="shared" si="243"/>
        <v>0</v>
      </c>
      <c r="AW419" s="1361">
        <f t="shared" si="244"/>
        <v>0</v>
      </c>
      <c r="AX419" s="1361">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61">
        <f t="shared" si="243"/>
        <v>0</v>
      </c>
      <c r="AW420" s="1361">
        <f t="shared" si="244"/>
        <v>0</v>
      </c>
      <c r="AX420" s="1361">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61">
        <f t="shared" si="243"/>
        <v>0</v>
      </c>
      <c r="AW421" s="1361">
        <f t="shared" si="244"/>
        <v>0</v>
      </c>
      <c r="AX421" s="1361">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61">
        <f t="shared" si="243"/>
        <v>0</v>
      </c>
      <c r="AW422" s="1361">
        <f t="shared" si="244"/>
        <v>0</v>
      </c>
      <c r="AX422" s="1361">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61">
        <f t="shared" si="243"/>
        <v>0</v>
      </c>
      <c r="AW423" s="1361">
        <f t="shared" si="244"/>
        <v>0</v>
      </c>
      <c r="AX423" s="1361">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61">
        <f t="shared" si="243"/>
        <v>0</v>
      </c>
      <c r="AW424" s="1361">
        <f t="shared" si="244"/>
        <v>0</v>
      </c>
      <c r="AX424" s="1361">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61">
        <f t="shared" si="243"/>
        <v>0</v>
      </c>
      <c r="AW425" s="1361">
        <f t="shared" si="244"/>
        <v>0</v>
      </c>
      <c r="AX425" s="1361">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61">
        <f t="shared" si="243"/>
        <v>0</v>
      </c>
      <c r="AW426" s="1361">
        <f t="shared" si="244"/>
        <v>0</v>
      </c>
      <c r="AX426" s="1361">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61">
        <f t="shared" si="243"/>
        <v>0</v>
      </c>
      <c r="AW427" s="1361">
        <f t="shared" si="244"/>
        <v>0</v>
      </c>
      <c r="AX427" s="1361">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61">
        <f t="shared" si="243"/>
        <v>0</v>
      </c>
      <c r="AW428" s="1361">
        <f t="shared" si="244"/>
        <v>0</v>
      </c>
      <c r="AX428" s="1361">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61">
        <f t="shared" si="243"/>
        <v>0</v>
      </c>
      <c r="AW429" s="1361">
        <f t="shared" si="244"/>
        <v>0</v>
      </c>
      <c r="AX429" s="1361">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61">
        <f t="shared" si="243"/>
        <v>0</v>
      </c>
      <c r="AW430" s="1361">
        <f t="shared" si="244"/>
        <v>0</v>
      </c>
      <c r="AX430" s="1361">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61">
        <f t="shared" si="243"/>
        <v>0</v>
      </c>
      <c r="AW431" s="1361">
        <f t="shared" si="244"/>
        <v>0</v>
      </c>
      <c r="AX431" s="1361">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61">
        <f t="shared" si="243"/>
        <v>0</v>
      </c>
      <c r="AW432" s="1361">
        <f t="shared" si="244"/>
        <v>0</v>
      </c>
      <c r="AX432" s="1361">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61">
        <f t="shared" si="243"/>
        <v>0</v>
      </c>
      <c r="AW433" s="1361">
        <f t="shared" si="244"/>
        <v>0</v>
      </c>
      <c r="AX433" s="1361">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61">
        <f t="shared" si="243"/>
        <v>0</v>
      </c>
      <c r="AW434" s="1361">
        <f t="shared" si="244"/>
        <v>0</v>
      </c>
      <c r="AX434" s="1361">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61">
        <f t="shared" si="243"/>
        <v>0</v>
      </c>
      <c r="AW435" s="1361">
        <f t="shared" si="244"/>
        <v>0</v>
      </c>
      <c r="AX435" s="1361">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61">
        <f t="shared" si="243"/>
        <v>0</v>
      </c>
      <c r="AW436" s="1361">
        <f t="shared" si="244"/>
        <v>0</v>
      </c>
      <c r="AX436" s="1361">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61">
        <f t="shared" si="243"/>
        <v>0</v>
      </c>
      <c r="AW437" s="1361">
        <f t="shared" si="244"/>
        <v>0</v>
      </c>
      <c r="AX437" s="1361">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61">
        <f t="shared" si="243"/>
        <v>0</v>
      </c>
      <c r="AW438" s="1361">
        <f t="shared" si="244"/>
        <v>0</v>
      </c>
      <c r="AX438" s="1361">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61">
        <f t="shared" si="243"/>
        <v>0</v>
      </c>
      <c r="AW439" s="1361">
        <f t="shared" si="244"/>
        <v>0</v>
      </c>
      <c r="AX439" s="1361">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61">
        <f t="shared" si="243"/>
        <v>0</v>
      </c>
      <c r="AW440" s="1361">
        <f t="shared" si="244"/>
        <v>0</v>
      </c>
      <c r="AX440" s="1361">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61">
        <f t="shared" si="243"/>
        <v>0</v>
      </c>
      <c r="AW441" s="1361">
        <f t="shared" si="244"/>
        <v>0</v>
      </c>
      <c r="AX441" s="1361">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61">
        <f t="shared" si="243"/>
        <v>0</v>
      </c>
      <c r="AW442" s="1361">
        <f t="shared" si="244"/>
        <v>0</v>
      </c>
      <c r="AX442" s="1361">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61">
        <f t="shared" si="243"/>
        <v>0</v>
      </c>
      <c r="AW443" s="1361">
        <f t="shared" si="244"/>
        <v>0</v>
      </c>
      <c r="AX443" s="1361">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61">
        <f t="shared" si="243"/>
        <v>0</v>
      </c>
      <c r="AW444" s="1361">
        <f t="shared" si="244"/>
        <v>0</v>
      </c>
      <c r="AX444" s="1361">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61">
        <f t="shared" si="243"/>
        <v>0</v>
      </c>
      <c r="AW445" s="1361">
        <f t="shared" si="244"/>
        <v>0</v>
      </c>
      <c r="AX445" s="1361">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61">
        <f t="shared" si="243"/>
        <v>0</v>
      </c>
      <c r="AW446" s="1361">
        <f t="shared" si="244"/>
        <v>0</v>
      </c>
      <c r="AX446" s="1361">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61">
        <f t="shared" si="243"/>
        <v>0</v>
      </c>
      <c r="AW447" s="1361">
        <f t="shared" si="244"/>
        <v>0</v>
      </c>
      <c r="AX447" s="1361">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61">
        <f t="shared" si="243"/>
        <v>0</v>
      </c>
      <c r="AW448" s="1361">
        <f t="shared" si="244"/>
        <v>0</v>
      </c>
      <c r="AX448" s="1361">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61">
        <f t="shared" si="243"/>
        <v>0</v>
      </c>
      <c r="AW449" s="1361">
        <f t="shared" si="244"/>
        <v>0</v>
      </c>
      <c r="AX449" s="1361">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61">
        <f t="shared" si="243"/>
        <v>0</v>
      </c>
      <c r="AW450" s="1361">
        <f t="shared" si="244"/>
        <v>0</v>
      </c>
      <c r="AX450" s="1361">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61">
        <f t="shared" si="243"/>
        <v>0</v>
      </c>
      <c r="AW451" s="1361">
        <f t="shared" si="244"/>
        <v>0</v>
      </c>
      <c r="AX451" s="1361">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61">
        <f t="shared" si="243"/>
        <v>0</v>
      </c>
      <c r="AW452" s="1361">
        <f t="shared" si="244"/>
        <v>0</v>
      </c>
      <c r="AX452" s="1361">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61">
        <f t="shared" si="243"/>
        <v>0</v>
      </c>
      <c r="AW453" s="1361">
        <f t="shared" si="244"/>
        <v>0</v>
      </c>
      <c r="AX453" s="1361">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61">
        <f t="shared" si="243"/>
        <v>0</v>
      </c>
      <c r="AW454" s="1361">
        <f t="shared" si="244"/>
        <v>0</v>
      </c>
      <c r="AX454" s="1361">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61">
        <f t="shared" si="243"/>
        <v>0</v>
      </c>
      <c r="AW455" s="1361">
        <f t="shared" si="244"/>
        <v>0</v>
      </c>
      <c r="AX455" s="1361">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61">
        <f t="shared" si="243"/>
        <v>0</v>
      </c>
      <c r="AW456" s="1361">
        <f t="shared" si="244"/>
        <v>0</v>
      </c>
      <c r="AX456" s="1361">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61">
        <f t="shared" si="243"/>
        <v>0</v>
      </c>
      <c r="AW457" s="1361">
        <f t="shared" si="244"/>
        <v>0</v>
      </c>
      <c r="AX457" s="1361">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61">
        <f t="shared" si="243"/>
        <v>0</v>
      </c>
      <c r="AW458" s="1361">
        <f t="shared" si="244"/>
        <v>0</v>
      </c>
      <c r="AX458" s="1361">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61">
        <f t="shared" si="243"/>
        <v>0</v>
      </c>
      <c r="AW459" s="1361">
        <f t="shared" si="244"/>
        <v>0</v>
      </c>
      <c r="AX459" s="1361">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61">
        <f t="shared" si="243"/>
        <v>0</v>
      </c>
      <c r="AW460" s="1361">
        <f t="shared" si="244"/>
        <v>0</v>
      </c>
      <c r="AX460" s="1361">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61">
        <f t="shared" si="243"/>
        <v>0</v>
      </c>
      <c r="AW461" s="1361">
        <f t="shared" si="244"/>
        <v>0</v>
      </c>
      <c r="AX461" s="1361">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61">
        <f t="shared" si="243"/>
        <v>0</v>
      </c>
      <c r="AW462" s="1361">
        <f t="shared" si="244"/>
        <v>0</v>
      </c>
      <c r="AX462" s="1361">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61">
        <f t="shared" si="243"/>
        <v>0</v>
      </c>
      <c r="AW463" s="1361">
        <f t="shared" si="244"/>
        <v>0</v>
      </c>
      <c r="AX463" s="1361">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61">
        <f t="shared" si="243"/>
        <v>0</v>
      </c>
      <c r="AW464" s="1361">
        <f t="shared" si="244"/>
        <v>0</v>
      </c>
      <c r="AX464" s="1361">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61">
        <f t="shared" si="243"/>
        <v>0</v>
      </c>
      <c r="AW465" s="1361">
        <f t="shared" si="244"/>
        <v>0</v>
      </c>
      <c r="AX465" s="1361">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61">
        <f t="shared" si="243"/>
        <v>0</v>
      </c>
      <c r="AW466" s="1361">
        <f t="shared" si="244"/>
        <v>0</v>
      </c>
      <c r="AX466" s="1361">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61">
        <f t="shared" si="243"/>
        <v>0</v>
      </c>
      <c r="AW467" s="1361">
        <f t="shared" si="244"/>
        <v>0</v>
      </c>
      <c r="AX467" s="1361">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61">
        <f t="shared" si="243"/>
        <v>0</v>
      </c>
      <c r="AW468" s="1361">
        <f t="shared" si="244"/>
        <v>0</v>
      </c>
      <c r="AX468" s="1361">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61">
        <f t="shared" si="243"/>
        <v>0</v>
      </c>
      <c r="AW469" s="1361">
        <f t="shared" si="244"/>
        <v>0</v>
      </c>
      <c r="AX469" s="1361">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61">
        <f t="shared" si="243"/>
        <v>0</v>
      </c>
      <c r="AW470" s="1361">
        <f t="shared" si="244"/>
        <v>0</v>
      </c>
      <c r="AX470" s="1361">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61">
        <f t="shared" si="243"/>
        <v>0</v>
      </c>
      <c r="AW471" s="1361">
        <f t="shared" si="244"/>
        <v>0</v>
      </c>
      <c r="AX471" s="1361">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61">
        <f t="shared" si="243"/>
        <v>0</v>
      </c>
      <c r="AW472" s="1361">
        <f t="shared" si="244"/>
        <v>0</v>
      </c>
      <c r="AX472" s="1361">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61">
        <f t="shared" si="243"/>
        <v>0</v>
      </c>
      <c r="AW473" s="1361">
        <f t="shared" si="244"/>
        <v>0</v>
      </c>
      <c r="AX473" s="1361">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61">
        <f t="shared" si="243"/>
        <v>0</v>
      </c>
      <c r="AW474" s="1361">
        <f t="shared" si="244"/>
        <v>0</v>
      </c>
      <c r="AX474" s="1361">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61">
        <f t="shared" si="243"/>
        <v>0</v>
      </c>
      <c r="AW475" s="1361">
        <f t="shared" si="244"/>
        <v>0</v>
      </c>
      <c r="AX475" s="1361">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61">
        <f t="shared" si="243"/>
        <v>0</v>
      </c>
      <c r="AW476" s="1361">
        <f t="shared" si="244"/>
        <v>0</v>
      </c>
      <c r="AX476" s="1361">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61">
        <f t="shared" si="243"/>
        <v>0</v>
      </c>
      <c r="AW477" s="1361">
        <f t="shared" si="244"/>
        <v>0</v>
      </c>
      <c r="AX477" s="1361">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61">
        <f t="shared" si="243"/>
        <v>0</v>
      </c>
      <c r="AW478" s="1361">
        <f t="shared" si="244"/>
        <v>0</v>
      </c>
      <c r="AX478" s="1361">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61">
        <f t="shared" si="243"/>
        <v>0</v>
      </c>
      <c r="AW479" s="1361">
        <f t="shared" si="244"/>
        <v>0</v>
      </c>
      <c r="AX479" s="1361">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61">
        <f t="shared" si="243"/>
        <v>0</v>
      </c>
      <c r="AW480" s="1361">
        <f t="shared" si="244"/>
        <v>0</v>
      </c>
      <c r="AX480" s="1361">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61">
        <f t="shared" si="243"/>
        <v>0</v>
      </c>
      <c r="AW481" s="1361">
        <f t="shared" si="244"/>
        <v>0</v>
      </c>
      <c r="AX481" s="1361">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61">
        <f t="shared" si="243"/>
        <v>0</v>
      </c>
      <c r="AW482" s="1361">
        <f t="shared" si="244"/>
        <v>0</v>
      </c>
      <c r="AX482" s="1361">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61">
        <f t="shared" si="243"/>
        <v>0</v>
      </c>
      <c r="AW483" s="1361">
        <f t="shared" si="244"/>
        <v>0</v>
      </c>
      <c r="AX483" s="1361">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61">
        <f t="shared" si="243"/>
        <v>0</v>
      </c>
      <c r="AW484" s="1361">
        <f t="shared" si="244"/>
        <v>0</v>
      </c>
      <c r="AX484" s="1361">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61">
        <f t="shared" si="243"/>
        <v>0</v>
      </c>
      <c r="AW485" s="1361">
        <f t="shared" si="244"/>
        <v>0</v>
      </c>
      <c r="AX485" s="1361">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61">
        <f t="shared" si="243"/>
        <v>0</v>
      </c>
      <c r="AW486" s="1361">
        <f t="shared" si="244"/>
        <v>0</v>
      </c>
      <c r="AX486" s="1361">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61">
        <f t="shared" si="243"/>
        <v>0</v>
      </c>
      <c r="AW487" s="1361">
        <f t="shared" si="244"/>
        <v>0</v>
      </c>
      <c r="AX487" s="1361">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61">
        <f t="shared" si="243"/>
        <v>0</v>
      </c>
      <c r="AW488" s="1361">
        <f t="shared" si="244"/>
        <v>0</v>
      </c>
      <c r="AX488" s="1361">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61">
        <f t="shared" si="243"/>
        <v>0</v>
      </c>
      <c r="AW489" s="1361">
        <f t="shared" si="244"/>
        <v>0</v>
      </c>
      <c r="AX489" s="1361">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61">
        <f t="shared" si="243"/>
        <v>0</v>
      </c>
      <c r="AW490" s="1361">
        <f t="shared" si="244"/>
        <v>0</v>
      </c>
      <c r="AX490" s="1361">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61">
        <f t="shared" si="243"/>
        <v>0</v>
      </c>
      <c r="AW491" s="1361">
        <f t="shared" si="244"/>
        <v>0</v>
      </c>
      <c r="AX491" s="1361">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61">
        <f t="shared" si="243"/>
        <v>0</v>
      </c>
      <c r="AW492" s="1361">
        <f t="shared" si="244"/>
        <v>0</v>
      </c>
      <c r="AX492" s="1361">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61">
        <f t="shared" ref="AV493:AV520" si="294">A493</f>
        <v>0</v>
      </c>
      <c r="AW493" s="1361">
        <f t="shared" ref="AW493:AW520" si="295">B493</f>
        <v>0</v>
      </c>
      <c r="AX493" s="1361">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61">
        <f t="shared" si="294"/>
        <v>0</v>
      </c>
      <c r="AW494" s="1361">
        <f t="shared" si="295"/>
        <v>0</v>
      </c>
      <c r="AX494" s="1361">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61">
        <f t="shared" si="294"/>
        <v>0</v>
      </c>
      <c r="AW495" s="1361">
        <f t="shared" si="295"/>
        <v>0</v>
      </c>
      <c r="AX495" s="1361">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61">
        <f t="shared" si="294"/>
        <v>0</v>
      </c>
      <c r="AW496" s="1361">
        <f t="shared" si="295"/>
        <v>0</v>
      </c>
      <c r="AX496" s="1361">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61">
        <f t="shared" si="294"/>
        <v>0</v>
      </c>
      <c r="AW497" s="1361">
        <f t="shared" si="295"/>
        <v>0</v>
      </c>
      <c r="AX497" s="1361">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61">
        <f t="shared" si="294"/>
        <v>0</v>
      </c>
      <c r="AW498" s="1361">
        <f t="shared" si="295"/>
        <v>0</v>
      </c>
      <c r="AX498" s="1361">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61">
        <f t="shared" si="294"/>
        <v>0</v>
      </c>
      <c r="AW499" s="1361">
        <f t="shared" si="295"/>
        <v>0</v>
      </c>
      <c r="AX499" s="1361">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61">
        <f t="shared" si="294"/>
        <v>0</v>
      </c>
      <c r="AW500" s="1361">
        <f t="shared" si="295"/>
        <v>0</v>
      </c>
      <c r="AX500" s="1361">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61">
        <f t="shared" si="294"/>
        <v>0</v>
      </c>
      <c r="AW501" s="1361">
        <f t="shared" si="295"/>
        <v>0</v>
      </c>
      <c r="AX501" s="1361">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61">
        <f t="shared" si="294"/>
        <v>0</v>
      </c>
      <c r="AW502" s="1361">
        <f t="shared" si="295"/>
        <v>0</v>
      </c>
      <c r="AX502" s="1361">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61">
        <f t="shared" si="294"/>
        <v>0</v>
      </c>
      <c r="AW503" s="1361">
        <f t="shared" si="295"/>
        <v>0</v>
      </c>
      <c r="AX503" s="1361">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61">
        <f t="shared" si="294"/>
        <v>0</v>
      </c>
      <c r="AW504" s="1361">
        <f t="shared" si="295"/>
        <v>0</v>
      </c>
      <c r="AX504" s="1361">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61">
        <f t="shared" si="294"/>
        <v>0</v>
      </c>
      <c r="AW505" s="1361">
        <f t="shared" si="295"/>
        <v>0</v>
      </c>
      <c r="AX505" s="1361">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61">
        <f t="shared" si="294"/>
        <v>0</v>
      </c>
      <c r="AW506" s="1361">
        <f t="shared" si="295"/>
        <v>0</v>
      </c>
      <c r="AX506" s="1361">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61">
        <f t="shared" si="294"/>
        <v>0</v>
      </c>
      <c r="AW507" s="1361">
        <f t="shared" si="295"/>
        <v>0</v>
      </c>
      <c r="AX507" s="1361">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61">
        <f t="shared" si="294"/>
        <v>0</v>
      </c>
      <c r="AW508" s="1361">
        <f t="shared" si="295"/>
        <v>0</v>
      </c>
      <c r="AX508" s="1361">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61">
        <f t="shared" si="294"/>
        <v>0</v>
      </c>
      <c r="AW509" s="1361">
        <f t="shared" si="295"/>
        <v>0</v>
      </c>
      <c r="AX509" s="1361">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61">
        <f t="shared" si="294"/>
        <v>0</v>
      </c>
      <c r="AW510" s="1361">
        <f t="shared" si="295"/>
        <v>0</v>
      </c>
      <c r="AX510" s="1361">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61">
        <f t="shared" si="294"/>
        <v>0</v>
      </c>
      <c r="AW511" s="1361">
        <f t="shared" si="295"/>
        <v>0</v>
      </c>
      <c r="AX511" s="1361">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61">
        <f t="shared" si="294"/>
        <v>0</v>
      </c>
      <c r="AW512" s="1361">
        <f t="shared" si="295"/>
        <v>0</v>
      </c>
      <c r="AX512" s="1361">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61">
        <f t="shared" si="294"/>
        <v>0</v>
      </c>
      <c r="AW513" s="1361">
        <f t="shared" si="295"/>
        <v>0</v>
      </c>
      <c r="AX513" s="1361">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61">
        <f t="shared" si="294"/>
        <v>0</v>
      </c>
      <c r="AW514" s="1361">
        <f t="shared" si="295"/>
        <v>0</v>
      </c>
      <c r="AX514" s="1361">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61">
        <f t="shared" si="294"/>
        <v>0</v>
      </c>
      <c r="AW515" s="1361">
        <f t="shared" si="295"/>
        <v>0</v>
      </c>
      <c r="AX515" s="1361">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61">
        <f t="shared" si="294"/>
        <v>0</v>
      </c>
      <c r="AW516" s="1361">
        <f t="shared" si="295"/>
        <v>0</v>
      </c>
      <c r="AX516" s="1361">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61">
        <f t="shared" si="294"/>
        <v>0</v>
      </c>
      <c r="AW517" s="1361">
        <f t="shared" si="295"/>
        <v>0</v>
      </c>
      <c r="AX517" s="1361">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61">
        <f t="shared" si="294"/>
        <v>0</v>
      </c>
      <c r="AW518" s="1361">
        <f t="shared" si="295"/>
        <v>0</v>
      </c>
      <c r="AX518" s="1361">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61">
        <f t="shared" si="294"/>
        <v>0</v>
      </c>
      <c r="AW519" s="1361">
        <f t="shared" si="295"/>
        <v>0</v>
      </c>
      <c r="AX519" s="1361">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61">
        <f t="shared" si="294"/>
        <v>0</v>
      </c>
      <c r="AW520" s="1361">
        <f t="shared" si="295"/>
        <v>0</v>
      </c>
      <c r="AX520" s="1361">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61">
        <f t="shared" ref="AV521:AV552" si="298">A521</f>
        <v>0</v>
      </c>
      <c r="AW521" s="1361">
        <f t="shared" ref="AW521:AW552" si="299">B521</f>
        <v>0</v>
      </c>
      <c r="AX521" s="1361">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61">
        <f t="shared" si="298"/>
        <v>0</v>
      </c>
      <c r="AW522" s="1361">
        <f t="shared" si="299"/>
        <v>0</v>
      </c>
      <c r="AX522" s="1361">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61">
        <f t="shared" si="298"/>
        <v>0</v>
      </c>
      <c r="AW523" s="1361">
        <f t="shared" si="299"/>
        <v>0</v>
      </c>
      <c r="AX523" s="1361">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61">
        <f t="shared" si="298"/>
        <v>0</v>
      </c>
      <c r="AW524" s="1361">
        <f t="shared" si="299"/>
        <v>0</v>
      </c>
      <c r="AX524" s="1361">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61">
        <f t="shared" si="298"/>
        <v>0</v>
      </c>
      <c r="AW525" s="1361">
        <f t="shared" si="299"/>
        <v>0</v>
      </c>
      <c r="AX525" s="1361">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61">
        <f t="shared" si="298"/>
        <v>0</v>
      </c>
      <c r="AW526" s="1361">
        <f t="shared" si="299"/>
        <v>0</v>
      </c>
      <c r="AX526" s="1361">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61">
        <f t="shared" si="298"/>
        <v>0</v>
      </c>
      <c r="AW527" s="1361">
        <f t="shared" si="299"/>
        <v>0</v>
      </c>
      <c r="AX527" s="1361">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61">
        <f t="shared" si="298"/>
        <v>0</v>
      </c>
      <c r="AW528" s="1361">
        <f t="shared" si="299"/>
        <v>0</v>
      </c>
      <c r="AX528" s="1361">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61">
        <f t="shared" si="298"/>
        <v>0</v>
      </c>
      <c r="AW529" s="1361">
        <f t="shared" si="299"/>
        <v>0</v>
      </c>
      <c r="AX529" s="1361">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61">
        <f t="shared" si="298"/>
        <v>0</v>
      </c>
      <c r="AW530" s="1361">
        <f t="shared" si="299"/>
        <v>0</v>
      </c>
      <c r="AX530" s="1361">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61">
        <f t="shared" si="298"/>
        <v>0</v>
      </c>
      <c r="AW531" s="1361">
        <f t="shared" si="299"/>
        <v>0</v>
      </c>
      <c r="AX531" s="1361">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61">
        <f t="shared" si="298"/>
        <v>0</v>
      </c>
      <c r="AW532" s="1361">
        <f t="shared" si="299"/>
        <v>0</v>
      </c>
      <c r="AX532" s="1361">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61">
        <f t="shared" si="298"/>
        <v>0</v>
      </c>
      <c r="AW533" s="1361">
        <f t="shared" si="299"/>
        <v>0</v>
      </c>
      <c r="AX533" s="1361">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61">
        <f t="shared" si="298"/>
        <v>0</v>
      </c>
      <c r="AW534" s="1361">
        <f t="shared" si="299"/>
        <v>0</v>
      </c>
      <c r="AX534" s="1361">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61">
        <f t="shared" si="298"/>
        <v>0</v>
      </c>
      <c r="AW535" s="1361">
        <f t="shared" si="299"/>
        <v>0</v>
      </c>
      <c r="AX535" s="1361">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61">
        <f t="shared" si="298"/>
        <v>0</v>
      </c>
      <c r="AW536" s="1361">
        <f t="shared" si="299"/>
        <v>0</v>
      </c>
      <c r="AX536" s="1361">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61">
        <f t="shared" si="298"/>
        <v>0</v>
      </c>
      <c r="AW537" s="1361">
        <f t="shared" si="299"/>
        <v>0</v>
      </c>
      <c r="AX537" s="1361">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61">
        <f t="shared" si="298"/>
        <v>0</v>
      </c>
      <c r="AW538" s="1361">
        <f t="shared" si="299"/>
        <v>0</v>
      </c>
      <c r="AX538" s="1361">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61">
        <f t="shared" si="298"/>
        <v>0</v>
      </c>
      <c r="AW539" s="1361">
        <f t="shared" si="299"/>
        <v>0</v>
      </c>
      <c r="AX539" s="1361">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61">
        <f t="shared" si="298"/>
        <v>0</v>
      </c>
      <c r="AW540" s="1361">
        <f t="shared" si="299"/>
        <v>0</v>
      </c>
      <c r="AX540" s="1361">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61">
        <f t="shared" si="298"/>
        <v>0</v>
      </c>
      <c r="AW541" s="1361">
        <f t="shared" si="299"/>
        <v>0</v>
      </c>
      <c r="AX541" s="1361">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61">
        <f t="shared" si="298"/>
        <v>0</v>
      </c>
      <c r="AW542" s="1361">
        <f t="shared" si="299"/>
        <v>0</v>
      </c>
      <c r="AX542" s="1361">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61">
        <f t="shared" si="298"/>
        <v>0</v>
      </c>
      <c r="AW543" s="1361">
        <f t="shared" si="299"/>
        <v>0</v>
      </c>
      <c r="AX543" s="1361">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61">
        <f t="shared" si="298"/>
        <v>0</v>
      </c>
      <c r="AW544" s="1361">
        <f t="shared" si="299"/>
        <v>0</v>
      </c>
      <c r="AX544" s="1361">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61">
        <f t="shared" si="298"/>
        <v>0</v>
      </c>
      <c r="AW545" s="1361">
        <f t="shared" si="299"/>
        <v>0</v>
      </c>
      <c r="AX545" s="1361">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61">
        <f t="shared" si="298"/>
        <v>0</v>
      </c>
      <c r="AW546" s="1361">
        <f t="shared" si="299"/>
        <v>0</v>
      </c>
      <c r="AX546" s="1361">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61">
        <f t="shared" si="298"/>
        <v>0</v>
      </c>
      <c r="AW547" s="1361">
        <f t="shared" si="299"/>
        <v>0</v>
      </c>
      <c r="AX547" s="1361">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61">
        <f t="shared" si="298"/>
        <v>0</v>
      </c>
      <c r="AW548" s="1361">
        <f t="shared" si="299"/>
        <v>0</v>
      </c>
      <c r="AX548" s="1361">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61">
        <f t="shared" si="298"/>
        <v>0</v>
      </c>
      <c r="AW549" s="1361">
        <f t="shared" si="299"/>
        <v>0</v>
      </c>
      <c r="AX549" s="1361">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61">
        <f t="shared" si="298"/>
        <v>0</v>
      </c>
      <c r="AW550" s="1361">
        <f t="shared" si="299"/>
        <v>0</v>
      </c>
      <c r="AX550" s="1361">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61">
        <f t="shared" si="298"/>
        <v>0</v>
      </c>
      <c r="AW551" s="1361">
        <f t="shared" si="299"/>
        <v>0</v>
      </c>
      <c r="AX551" s="1361">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61">
        <f t="shared" si="298"/>
        <v>0</v>
      </c>
      <c r="AW552" s="1361">
        <f t="shared" si="299"/>
        <v>0</v>
      </c>
      <c r="AX552" s="1361">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61">
        <f t="shared" ref="AV553:AV587" si="330">A553</f>
        <v>0</v>
      </c>
      <c r="AW553" s="1361">
        <f t="shared" ref="AW553:AW587" si="331">B553</f>
        <v>0</v>
      </c>
      <c r="AX553" s="1361">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61">
        <f t="shared" si="330"/>
        <v>0</v>
      </c>
      <c r="AW554" s="1361">
        <f t="shared" si="331"/>
        <v>0</v>
      </c>
      <c r="AX554" s="1361">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61">
        <f t="shared" si="330"/>
        <v>0</v>
      </c>
      <c r="AW555" s="1361">
        <f t="shared" si="331"/>
        <v>0</v>
      </c>
      <c r="AX555" s="1361">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61">
        <f t="shared" si="330"/>
        <v>0</v>
      </c>
      <c r="AW556" s="1361">
        <f t="shared" si="331"/>
        <v>0</v>
      </c>
      <c r="AX556" s="1361">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61">
        <f t="shared" si="330"/>
        <v>0</v>
      </c>
      <c r="AW557" s="1361">
        <f t="shared" si="331"/>
        <v>0</v>
      </c>
      <c r="AX557" s="1361">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61">
        <f t="shared" si="330"/>
        <v>0</v>
      </c>
      <c r="AW558" s="1361">
        <f t="shared" si="331"/>
        <v>0</v>
      </c>
      <c r="AX558" s="1361">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61">
        <f t="shared" si="330"/>
        <v>0</v>
      </c>
      <c r="AW559" s="1361">
        <f t="shared" si="331"/>
        <v>0</v>
      </c>
      <c r="AX559" s="1361">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61">
        <f t="shared" si="330"/>
        <v>0</v>
      </c>
      <c r="AW560" s="1361">
        <f t="shared" si="331"/>
        <v>0</v>
      </c>
      <c r="AX560" s="1361">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61">
        <f t="shared" si="330"/>
        <v>0</v>
      </c>
      <c r="AW561" s="1361">
        <f t="shared" si="331"/>
        <v>0</v>
      </c>
      <c r="AX561" s="1361">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61">
        <f t="shared" si="330"/>
        <v>0</v>
      </c>
      <c r="AW562" s="1361">
        <f t="shared" si="331"/>
        <v>0</v>
      </c>
      <c r="AX562" s="1361">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61">
        <f t="shared" si="330"/>
        <v>0</v>
      </c>
      <c r="AW563" s="1361">
        <f t="shared" si="331"/>
        <v>0</v>
      </c>
      <c r="AX563" s="1361">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61">
        <f t="shared" si="330"/>
        <v>0</v>
      </c>
      <c r="AW564" s="1361">
        <f t="shared" si="331"/>
        <v>0</v>
      </c>
      <c r="AX564" s="1361">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61">
        <f t="shared" si="330"/>
        <v>0</v>
      </c>
      <c r="AW565" s="1361">
        <f t="shared" si="331"/>
        <v>0</v>
      </c>
      <c r="AX565" s="1361">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61">
        <f t="shared" si="330"/>
        <v>0</v>
      </c>
      <c r="AW566" s="1361">
        <f t="shared" si="331"/>
        <v>0</v>
      </c>
      <c r="AX566" s="1361">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61">
        <f t="shared" si="330"/>
        <v>0</v>
      </c>
      <c r="AW567" s="1361">
        <f t="shared" si="331"/>
        <v>0</v>
      </c>
      <c r="AX567" s="1361">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61">
        <f t="shared" si="330"/>
        <v>0</v>
      </c>
      <c r="AW568" s="1361">
        <f t="shared" si="331"/>
        <v>0</v>
      </c>
      <c r="AX568" s="1361">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61">
        <f t="shared" si="330"/>
        <v>0</v>
      </c>
      <c r="AW569" s="1361">
        <f t="shared" si="331"/>
        <v>0</v>
      </c>
      <c r="AX569" s="1361">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61">
        <f t="shared" si="330"/>
        <v>0</v>
      </c>
      <c r="AW570" s="1361">
        <f t="shared" si="331"/>
        <v>0</v>
      </c>
      <c r="AX570" s="1361">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61">
        <f t="shared" si="330"/>
        <v>0</v>
      </c>
      <c r="AW571" s="1361">
        <f t="shared" si="331"/>
        <v>0</v>
      </c>
      <c r="AX571" s="1361">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61">
        <f t="shared" si="330"/>
        <v>0</v>
      </c>
      <c r="AW572" s="1361">
        <f t="shared" si="331"/>
        <v>0</v>
      </c>
      <c r="AX572" s="1361">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61">
        <f t="shared" si="330"/>
        <v>0</v>
      </c>
      <c r="AW573" s="1361">
        <f t="shared" si="331"/>
        <v>0</v>
      </c>
      <c r="AX573" s="1361">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61">
        <f t="shared" si="330"/>
        <v>0</v>
      </c>
      <c r="AW574" s="1361">
        <f t="shared" si="331"/>
        <v>0</v>
      </c>
      <c r="AX574" s="1361">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61">
        <f t="shared" si="330"/>
        <v>0</v>
      </c>
      <c r="AW575" s="1361">
        <f t="shared" si="331"/>
        <v>0</v>
      </c>
      <c r="AX575" s="1361">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61">
        <f t="shared" si="330"/>
        <v>0</v>
      </c>
      <c r="AW576" s="1361">
        <f t="shared" si="331"/>
        <v>0</v>
      </c>
      <c r="AX576" s="1361">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61">
        <f t="shared" si="330"/>
        <v>0</v>
      </c>
      <c r="AW577" s="1361">
        <f t="shared" si="331"/>
        <v>0</v>
      </c>
      <c r="AX577" s="1361">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61">
        <f t="shared" si="330"/>
        <v>0</v>
      </c>
      <c r="AW578" s="1361">
        <f t="shared" si="331"/>
        <v>0</v>
      </c>
      <c r="AX578" s="1361">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61">
        <f t="shared" si="330"/>
        <v>0</v>
      </c>
      <c r="AW579" s="1361">
        <f t="shared" si="331"/>
        <v>0</v>
      </c>
      <c r="AX579" s="1361">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61">
        <f t="shared" si="330"/>
        <v>0</v>
      </c>
      <c r="AW580" s="1361">
        <f t="shared" si="331"/>
        <v>0</v>
      </c>
      <c r="AX580" s="1361">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61">
        <f t="shared" si="330"/>
        <v>0</v>
      </c>
      <c r="AW581" s="1361">
        <f t="shared" si="331"/>
        <v>0</v>
      </c>
      <c r="AX581" s="1361">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61">
        <f t="shared" si="330"/>
        <v>0</v>
      </c>
      <c r="AW582" s="1361">
        <f t="shared" si="331"/>
        <v>0</v>
      </c>
      <c r="AX582" s="1361">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61">
        <f t="shared" si="330"/>
        <v>0</v>
      </c>
      <c r="AW583" s="1361">
        <f t="shared" si="331"/>
        <v>0</v>
      </c>
      <c r="AX583" s="1361">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61">
        <f t="shared" si="330"/>
        <v>0</v>
      </c>
      <c r="AW584" s="1361">
        <f t="shared" si="331"/>
        <v>0</v>
      </c>
      <c r="AX584" s="1361">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61">
        <f t="shared" si="330"/>
        <v>0</v>
      </c>
      <c r="AW585" s="1361">
        <f t="shared" si="331"/>
        <v>0</v>
      </c>
      <c r="AX585" s="1361">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61">
        <f t="shared" si="330"/>
        <v>0</v>
      </c>
      <c r="AW586" s="1361">
        <f t="shared" si="331"/>
        <v>0</v>
      </c>
      <c r="AX586" s="1361">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61">
        <f t="shared" si="330"/>
        <v>0</v>
      </c>
      <c r="AW587" s="1361">
        <f t="shared" si="331"/>
        <v>0</v>
      </c>
      <c r="AX587" s="1361">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48" customWidth="1"/>
    <col min="2" max="2" width="10.25" style="3148" customWidth="1"/>
    <col min="3" max="3" width="18.5" style="3148" customWidth="1"/>
    <col min="4" max="4" width="11.625" style="3148" customWidth="1"/>
    <col min="5" max="5" width="13.375" style="3148" customWidth="1"/>
    <col min="6" max="8" width="11.5" style="3148" customWidth="1"/>
    <col min="9" max="9" width="11.125" style="3148" customWidth="1"/>
    <col min="10" max="10" width="3.125" style="3149" customWidth="1"/>
    <col min="11" max="16" width="10" style="3148" customWidth="1"/>
    <col min="17" max="17" width="2.625" style="3148" customWidth="1"/>
    <col min="18" max="18" width="9.375" style="3148" customWidth="1"/>
    <col min="19" max="19" width="10.5" style="3148" customWidth="1"/>
    <col min="20" max="16384" width="9.25" style="3148"/>
  </cols>
  <sheetData>
    <row r="1" ht="19.5" spans="1:16">
      <c r="A1" s="2507" t="s">
        <v>557</v>
      </c>
      <c r="B1" s="2593"/>
      <c r="C1" s="2593"/>
      <c r="D1" s="2593"/>
      <c r="E1" s="2593"/>
      <c r="F1" s="2593"/>
      <c r="G1" s="2593"/>
      <c r="H1" s="2593"/>
      <c r="I1" s="2593"/>
      <c r="J1" s="2593"/>
      <c r="K1" s="2593"/>
      <c r="L1" s="2593"/>
      <c r="M1" s="2593"/>
      <c r="N1" s="2593"/>
      <c r="O1" s="2593"/>
      <c r="P1" s="2593"/>
    </row>
    <row r="2" spans="1:16">
      <c r="A2" s="2423" t="s">
        <v>558</v>
      </c>
      <c r="B2" s="2423"/>
      <c r="C2" s="2423"/>
      <c r="D2" s="2423" t="s">
        <v>559</v>
      </c>
      <c r="E2" s="3150" t="s">
        <v>560</v>
      </c>
      <c r="F2" s="3151"/>
      <c r="G2" s="3152"/>
      <c r="H2" s="3153"/>
      <c r="I2" s="2771" t="s">
        <v>561</v>
      </c>
      <c r="J2" s="3151"/>
      <c r="K2" s="3151"/>
      <c r="L2" s="3151"/>
      <c r="M2" s="3151"/>
      <c r="N2" s="1492"/>
      <c r="O2" s="3151"/>
      <c r="P2" s="3151"/>
    </row>
    <row r="3" ht="15.75" spans="1:16">
      <c r="A3" s="3154" t="s">
        <v>562</v>
      </c>
      <c r="B3" s="3154"/>
      <c r="C3" s="3154"/>
      <c r="D3" s="3155">
        <f>'数据-基础表'!AY6</f>
        <v>0</v>
      </c>
      <c r="E3" s="3155">
        <f>'数据-基础表'!AZ5</f>
        <v>211.57</v>
      </c>
      <c r="F3" s="3151"/>
      <c r="G3" s="3156"/>
      <c r="H3" s="2541" t="s">
        <v>563</v>
      </c>
      <c r="I3" s="3219" t="e">
        <f>ROUND('数据-基础表'!B3/'数据-基础表'!A3,2)</f>
        <v>#DIV/0!</v>
      </c>
      <c r="J3" s="3151"/>
      <c r="K3" s="3151"/>
      <c r="L3" s="3151"/>
      <c r="M3" s="3151"/>
      <c r="N3" s="1492"/>
      <c r="O3" s="3151"/>
      <c r="P3" s="3151"/>
    </row>
    <row r="4" ht="15" spans="1:16">
      <c r="A4" s="2769"/>
      <c r="B4" s="2770"/>
      <c r="C4" s="3157"/>
      <c r="D4" s="3158" t="s">
        <v>559</v>
      </c>
      <c r="E4" s="3159" t="s">
        <v>560</v>
      </c>
      <c r="F4" s="3151"/>
      <c r="G4" s="3160" t="s">
        <v>564</v>
      </c>
      <c r="H4" s="2541" t="s">
        <v>565</v>
      </c>
      <c r="I4" s="3219" t="e">
        <f>ROUND(SUMIF('数据-基础表'!I9:AS9,"地上",'数据-基础表'!I5:AS5)/'数据-基础表'!A3,2)</f>
        <v>#DIV/0!</v>
      </c>
      <c r="J4" s="3151"/>
      <c r="K4" s="3151"/>
      <c r="L4" s="3151"/>
      <c r="M4" s="3151"/>
      <c r="N4" s="1492"/>
      <c r="O4" s="3151"/>
      <c r="P4" s="3151"/>
    </row>
    <row r="5" spans="1:16">
      <c r="A5" s="3161" t="s">
        <v>566</v>
      </c>
      <c r="B5" s="1377" t="s">
        <v>567</v>
      </c>
      <c r="C5" s="1377"/>
      <c r="D5" s="3162">
        <f>ROUND($D$3*E5/$E$3,2)</f>
        <v>0</v>
      </c>
      <c r="E5" s="3163">
        <f>SUMIF('数据-基础表'!$11:$11,"住宅",'数据-基础表'!$5:$5)</f>
        <v>211.57</v>
      </c>
      <c r="F5" s="3151"/>
      <c r="G5" s="3156"/>
      <c r="H5" s="2541" t="s">
        <v>563</v>
      </c>
      <c r="I5" s="3219" t="e">
        <f>ROUND(E31/D31,2)</f>
        <v>#DIV/0!</v>
      </c>
      <c r="J5" s="3151"/>
      <c r="K5" s="3151"/>
      <c r="L5" s="3151"/>
      <c r="M5" s="3151"/>
      <c r="N5" s="3151"/>
      <c r="O5" s="3151"/>
      <c r="P5" s="3151"/>
    </row>
    <row r="6" ht="15" spans="1:16">
      <c r="A6" s="3164"/>
      <c r="B6" s="1377" t="s">
        <v>568</v>
      </c>
      <c r="C6" s="1377"/>
      <c r="D6" s="3162">
        <f>ROUND($D$3*E6/$E$3,2)</f>
        <v>0</v>
      </c>
      <c r="E6" s="3163">
        <f>E3-E5</f>
        <v>0</v>
      </c>
      <c r="F6" s="3151"/>
      <c r="G6" s="3165" t="s">
        <v>569</v>
      </c>
      <c r="H6" s="3166" t="s">
        <v>565</v>
      </c>
      <c r="I6" s="3220" t="e">
        <f>ROUND(F31/D31,2)</f>
        <v>#DIV/0!</v>
      </c>
      <c r="J6" s="3151"/>
      <c r="K6" s="3151"/>
      <c r="L6" s="3151"/>
      <c r="M6" s="3151"/>
      <c r="N6" s="3151"/>
      <c r="O6" s="3151"/>
      <c r="P6" s="3151"/>
    </row>
    <row r="7" ht="15" spans="1:16">
      <c r="A7" s="3167"/>
      <c r="B7" s="3168"/>
      <c r="C7" s="3169"/>
      <c r="D7" s="3158" t="s">
        <v>559</v>
      </c>
      <c r="E7" s="3170" t="s">
        <v>570</v>
      </c>
      <c r="F7" s="3151"/>
      <c r="G7" s="3171" t="s">
        <v>571</v>
      </c>
      <c r="H7" s="3172"/>
      <c r="I7" s="3221"/>
      <c r="J7" s="3151"/>
      <c r="K7" s="3151"/>
      <c r="L7" s="3151"/>
      <c r="M7" s="3151"/>
      <c r="N7" s="3151"/>
      <c r="O7" s="3151"/>
      <c r="P7" s="3151"/>
    </row>
    <row r="8" spans="1:16">
      <c r="A8" s="3161" t="s">
        <v>572</v>
      </c>
      <c r="B8" s="3173" t="s">
        <v>573</v>
      </c>
      <c r="C8" s="3162" t="s">
        <v>574</v>
      </c>
      <c r="D8" s="3162">
        <f t="shared" ref="D8:D15" si="0">ROUND($D$3*E8/$E$3,2)</f>
        <v>0</v>
      </c>
      <c r="E8" s="3174">
        <f>SUMIF('数据-基础表'!BB10:BK10,"地上",'数据-基础表'!BB5:BK5)</f>
        <v>211.57</v>
      </c>
      <c r="F8" s="3151"/>
      <c r="G8" s="3175"/>
      <c r="H8" s="3175"/>
      <c r="I8" s="3151"/>
      <c r="J8" s="3151"/>
      <c r="K8" s="3151"/>
      <c r="L8" s="3151"/>
      <c r="M8" s="3151"/>
      <c r="N8" s="3151"/>
      <c r="O8" s="3151"/>
      <c r="P8" s="3151"/>
    </row>
    <row r="9" spans="1:16">
      <c r="A9" s="3176"/>
      <c r="B9" s="3177"/>
      <c r="C9" s="3162" t="s">
        <v>575</v>
      </c>
      <c r="D9" s="3162">
        <f t="shared" si="0"/>
        <v>0</v>
      </c>
      <c r="E9" s="3178">
        <v>0</v>
      </c>
      <c r="F9" s="3151"/>
      <c r="G9" s="3175"/>
      <c r="H9" s="3175"/>
      <c r="I9" s="3151"/>
      <c r="J9" s="3151"/>
      <c r="K9" s="3151"/>
      <c r="L9" s="3151"/>
      <c r="M9" s="3151"/>
      <c r="N9" s="3151"/>
      <c r="O9" s="3151"/>
      <c r="P9" s="3151"/>
    </row>
    <row r="10" spans="1:16">
      <c r="A10" s="3176"/>
      <c r="B10" s="3177"/>
      <c r="C10" s="3162" t="s">
        <v>576</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spans="1:16">
      <c r="A11" s="3176"/>
      <c r="B11" s="3177"/>
      <c r="C11" s="3162" t="s">
        <v>577</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spans="1:16">
      <c r="A12" s="3176"/>
      <c r="B12" s="3177"/>
      <c r="C12" s="3162" t="s">
        <v>578</v>
      </c>
      <c r="D12" s="3162">
        <f t="shared" si="0"/>
        <v>0</v>
      </c>
      <c r="E12" s="3174">
        <f>SUMPRODUCT(('数据-基础表'!BB10:BK10="地下")*('数据-基础表'!BB11:BK11="仓储")*('数据-基础表'!BB5:BK5))</f>
        <v>0</v>
      </c>
      <c r="F12" s="3151"/>
      <c r="G12" s="3175"/>
      <c r="H12" s="3175"/>
      <c r="I12" s="3151"/>
      <c r="J12" s="3151"/>
      <c r="K12" s="3151"/>
      <c r="L12" s="3151"/>
      <c r="M12" s="3151"/>
      <c r="N12" s="3151"/>
      <c r="O12" s="3151"/>
      <c r="P12" s="3151"/>
    </row>
    <row r="13" spans="1:16">
      <c r="A13" s="3176"/>
      <c r="B13" s="3177"/>
      <c r="C13" s="3162" t="s">
        <v>579</v>
      </c>
      <c r="D13" s="3162">
        <f t="shared" si="0"/>
        <v>0</v>
      </c>
      <c r="E13" s="3174">
        <f>SUMPRODUCT(('数据-基础表'!BB10:BK10="地下")*('数据-基础表'!BB11:BK11="车库")*('数据-基础表'!BB5:BK5))</f>
        <v>0</v>
      </c>
      <c r="F13" s="3151"/>
      <c r="G13" s="3175"/>
      <c r="H13" s="3175"/>
      <c r="I13" s="3151"/>
      <c r="J13" s="3151"/>
      <c r="K13" s="3151"/>
      <c r="L13" s="3151"/>
      <c r="M13" s="3151"/>
      <c r="N13" s="3151"/>
      <c r="O13" s="3151"/>
      <c r="P13" s="3151"/>
    </row>
    <row r="14" spans="1:16">
      <c r="A14" s="3176"/>
      <c r="B14" s="3177"/>
      <c r="C14" s="3162" t="s">
        <v>580</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 spans="1:16">
      <c r="A15" s="3176"/>
      <c r="B15" s="3177"/>
      <c r="C15" s="3162" t="s">
        <v>581</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 spans="1:16">
      <c r="A16" s="3164"/>
      <c r="B16" s="3177"/>
      <c r="C16" s="3173" t="s">
        <v>582</v>
      </c>
      <c r="D16" s="3173">
        <f>SUM(D8:D15)</f>
        <v>0</v>
      </c>
      <c r="E16" s="3179">
        <f>SUM(E8:E15)</f>
        <v>211.57</v>
      </c>
      <c r="F16" s="3151"/>
      <c r="G16" s="3175"/>
      <c r="H16" s="3180" t="s">
        <v>583</v>
      </c>
      <c r="I16" s="3222"/>
      <c r="J16" s="2593"/>
      <c r="K16" s="3223" t="s">
        <v>583</v>
      </c>
      <c r="L16" s="3182"/>
      <c r="M16" s="3182"/>
      <c r="N16" s="3182"/>
      <c r="O16" s="3182"/>
      <c r="P16" s="3224"/>
    </row>
    <row r="17" ht="15" spans="1:19">
      <c r="A17" s="3110" t="s">
        <v>584</v>
      </c>
      <c r="B17" s="3181" t="s">
        <v>585</v>
      </c>
      <c r="C17" s="3109" t="s">
        <v>586</v>
      </c>
      <c r="D17" s="3182" t="s">
        <v>559</v>
      </c>
      <c r="E17" s="3183" t="s">
        <v>560</v>
      </c>
      <c r="F17" s="3184"/>
      <c r="G17" s="3185"/>
      <c r="H17" s="3186" t="s">
        <v>587</v>
      </c>
      <c r="I17" s="3225" t="s">
        <v>588</v>
      </c>
      <c r="J17" s="2593"/>
      <c r="K17" s="3226" t="s">
        <v>589</v>
      </c>
      <c r="L17" s="3227"/>
      <c r="M17" s="3228"/>
      <c r="N17" s="3226" t="s">
        <v>590</v>
      </c>
      <c r="O17" s="3227"/>
      <c r="P17" s="3228"/>
      <c r="R17" s="3241" t="s">
        <v>591</v>
      </c>
      <c r="S17" s="2528"/>
    </row>
    <row r="18" ht="15" spans="1:19">
      <c r="A18" s="3176"/>
      <c r="B18" s="3187"/>
      <c r="C18" s="3188"/>
      <c r="D18" s="3189"/>
      <c r="E18" s="3190" t="s">
        <v>592</v>
      </c>
      <c r="F18" s="3191" t="s">
        <v>565</v>
      </c>
      <c r="G18" s="3192" t="s">
        <v>593</v>
      </c>
      <c r="H18" s="3115" t="s">
        <v>594</v>
      </c>
      <c r="I18" s="3229" t="s">
        <v>595</v>
      </c>
      <c r="J18" s="2593"/>
      <c r="K18" s="3115" t="s">
        <v>596</v>
      </c>
      <c r="L18" s="2790" t="s">
        <v>597</v>
      </c>
      <c r="M18" s="3219" t="s">
        <v>598</v>
      </c>
      <c r="N18" s="3115" t="s">
        <v>596</v>
      </c>
      <c r="O18" s="2790" t="s">
        <v>597</v>
      </c>
      <c r="P18" s="3219" t="s">
        <v>598</v>
      </c>
      <c r="R18" s="2541" t="s">
        <v>594</v>
      </c>
      <c r="S18" s="2541" t="s">
        <v>595</v>
      </c>
    </row>
    <row r="19" spans="1:19">
      <c r="A19" s="3193"/>
      <c r="B19" s="3173" t="s">
        <v>599</v>
      </c>
      <c r="C19" s="3194" t="s">
        <v>412</v>
      </c>
      <c r="D19" s="3162">
        <f>ROUND($D$3*E19/$E$3,2)</f>
        <v>0</v>
      </c>
      <c r="E19" s="3195">
        <f t="shared" ref="E19:E26" si="1">SUM(F19:G19)</f>
        <v>211.57</v>
      </c>
      <c r="F19" s="3196">
        <f>'数据-基础表'!I5</f>
        <v>211.57</v>
      </c>
      <c r="G19" s="3197"/>
      <c r="H19" s="3099">
        <f>ROUND($D$3*I19/$E$3,2)</f>
        <v>0</v>
      </c>
      <c r="I19" s="3174">
        <f t="shared" ref="I19:I26" si="2">IF($I$17="自定义",P19,M19)</f>
        <v>0</v>
      </c>
      <c r="J19" s="2593"/>
      <c r="K19" s="3230">
        <f t="shared" ref="K19:K26" si="3">ROUND(E$28*E19/E$27,2)</f>
        <v>0</v>
      </c>
      <c r="L19" s="2541">
        <f t="shared" ref="L19:L26" si="4">ROUND(IF(COUNTIF(C19,"*住宅*")&gt;0,E$29*E19/E$32,0),2)</f>
        <v>0</v>
      </c>
      <c r="M19" s="3231">
        <f>K19+L19</f>
        <v>0</v>
      </c>
      <c r="N19" s="3232"/>
      <c r="O19" s="3233"/>
      <c r="P19" s="3231">
        <f>N19+O19</f>
        <v>0</v>
      </c>
      <c r="R19" s="2541">
        <f t="shared" ref="R19:S26" si="5">D19+H19</f>
        <v>0</v>
      </c>
      <c r="S19" s="3242">
        <f t="shared" si="5"/>
        <v>211.57</v>
      </c>
    </row>
    <row r="20" spans="1:19">
      <c r="A20" s="3198"/>
      <c r="B20" s="3173" t="s">
        <v>599</v>
      </c>
      <c r="C20" s="3194"/>
      <c r="D20" s="3162">
        <f t="shared" ref="D20:D26" si="6">ROUND($D$3*E20/$E$3,2)</f>
        <v>0</v>
      </c>
      <c r="E20" s="3195">
        <f t="shared" si="1"/>
        <v>0</v>
      </c>
      <c r="F20" s="3196"/>
      <c r="G20" s="3197"/>
      <c r="H20" s="3099">
        <f t="shared" ref="H20:H26" si="7">ROUND($D$3*I20/$E$3,2)</f>
        <v>0</v>
      </c>
      <c r="I20" s="3174">
        <f t="shared" si="2"/>
        <v>0</v>
      </c>
      <c r="J20" s="2593"/>
      <c r="K20" s="3230">
        <f t="shared" si="3"/>
        <v>0</v>
      </c>
      <c r="L20" s="2541">
        <f t="shared" si="4"/>
        <v>0</v>
      </c>
      <c r="M20" s="3231">
        <f t="shared" ref="M20:M26" si="8">K20+L20</f>
        <v>0</v>
      </c>
      <c r="N20" s="3232"/>
      <c r="O20" s="3233"/>
      <c r="P20" s="3231">
        <f t="shared" ref="P20:P26" si="9">N20+O20</f>
        <v>0</v>
      </c>
      <c r="R20" s="2541">
        <f t="shared" si="5"/>
        <v>0</v>
      </c>
      <c r="S20" s="3242">
        <f t="shared" si="5"/>
        <v>0</v>
      </c>
    </row>
    <row r="21" spans="1:19">
      <c r="A21" s="3198"/>
      <c r="B21" s="3173" t="s">
        <v>599</v>
      </c>
      <c r="C21" s="3194"/>
      <c r="D21" s="3162">
        <f t="shared" si="6"/>
        <v>0</v>
      </c>
      <c r="E21" s="3195">
        <f t="shared" si="1"/>
        <v>0</v>
      </c>
      <c r="F21" s="3196"/>
      <c r="G21" s="3197"/>
      <c r="H21" s="3099">
        <f t="shared" si="7"/>
        <v>0</v>
      </c>
      <c r="I21" s="3174">
        <f t="shared" si="2"/>
        <v>0</v>
      </c>
      <c r="J21" s="2593"/>
      <c r="K21" s="3230">
        <f t="shared" si="3"/>
        <v>0</v>
      </c>
      <c r="L21" s="2541">
        <f t="shared" si="4"/>
        <v>0</v>
      </c>
      <c r="M21" s="3231">
        <f t="shared" si="8"/>
        <v>0</v>
      </c>
      <c r="N21" s="3232"/>
      <c r="O21" s="3233"/>
      <c r="P21" s="3231">
        <f t="shared" si="9"/>
        <v>0</v>
      </c>
      <c r="R21" s="2541">
        <f t="shared" si="5"/>
        <v>0</v>
      </c>
      <c r="S21" s="3242">
        <f t="shared" si="5"/>
        <v>0</v>
      </c>
    </row>
    <row r="22" spans="1:19">
      <c r="A22" s="3198"/>
      <c r="B22" s="3173" t="s">
        <v>599</v>
      </c>
      <c r="C22" s="3199"/>
      <c r="D22" s="3162">
        <f t="shared" si="6"/>
        <v>0</v>
      </c>
      <c r="E22" s="3195">
        <f t="shared" si="1"/>
        <v>0</v>
      </c>
      <c r="F22" s="3200"/>
      <c r="G22" s="3201"/>
      <c r="H22" s="3099">
        <f t="shared" si="7"/>
        <v>0</v>
      </c>
      <c r="I22" s="3174">
        <f t="shared" si="2"/>
        <v>0</v>
      </c>
      <c r="J22" s="2593"/>
      <c r="K22" s="3230">
        <f t="shared" si="3"/>
        <v>0</v>
      </c>
      <c r="L22" s="2541">
        <f t="shared" si="4"/>
        <v>0</v>
      </c>
      <c r="M22" s="3231">
        <f t="shared" si="8"/>
        <v>0</v>
      </c>
      <c r="N22" s="3232"/>
      <c r="O22" s="3233"/>
      <c r="P22" s="3231">
        <f t="shared" si="9"/>
        <v>0</v>
      </c>
      <c r="R22" s="2541">
        <f t="shared" si="5"/>
        <v>0</v>
      </c>
      <c r="S22" s="3242">
        <f t="shared" si="5"/>
        <v>0</v>
      </c>
    </row>
    <row r="23" spans="1:19">
      <c r="A23" s="3198"/>
      <c r="B23" s="3173" t="s">
        <v>599</v>
      </c>
      <c r="C23" s="3199"/>
      <c r="D23" s="3162">
        <f t="shared" si="6"/>
        <v>0</v>
      </c>
      <c r="E23" s="3195">
        <f t="shared" si="1"/>
        <v>0</v>
      </c>
      <c r="F23" s="3200"/>
      <c r="G23" s="3201"/>
      <c r="H23" s="3099">
        <f t="shared" si="7"/>
        <v>0</v>
      </c>
      <c r="I23" s="3174">
        <f t="shared" si="2"/>
        <v>0</v>
      </c>
      <c r="J23" s="2593"/>
      <c r="K23" s="3230">
        <f t="shared" si="3"/>
        <v>0</v>
      </c>
      <c r="L23" s="2541">
        <f t="shared" si="4"/>
        <v>0</v>
      </c>
      <c r="M23" s="3231">
        <f t="shared" si="8"/>
        <v>0</v>
      </c>
      <c r="N23" s="3232"/>
      <c r="O23" s="3233"/>
      <c r="P23" s="3231">
        <f t="shared" si="9"/>
        <v>0</v>
      </c>
      <c r="R23" s="2541">
        <f t="shared" si="5"/>
        <v>0</v>
      </c>
      <c r="S23" s="3242">
        <f t="shared" si="5"/>
        <v>0</v>
      </c>
    </row>
    <row r="24" spans="1:19">
      <c r="A24" s="3198"/>
      <c r="B24" s="3173" t="s">
        <v>599</v>
      </c>
      <c r="C24" s="3199"/>
      <c r="D24" s="3162">
        <f t="shared" si="6"/>
        <v>0</v>
      </c>
      <c r="E24" s="3195">
        <f t="shared" si="1"/>
        <v>0</v>
      </c>
      <c r="F24" s="3200"/>
      <c r="G24" s="3201"/>
      <c r="H24" s="3099">
        <f t="shared" si="7"/>
        <v>0</v>
      </c>
      <c r="I24" s="3174">
        <f t="shared" si="2"/>
        <v>0</v>
      </c>
      <c r="J24" s="2593"/>
      <c r="K24" s="3230">
        <f t="shared" si="3"/>
        <v>0</v>
      </c>
      <c r="L24" s="2541">
        <f t="shared" si="4"/>
        <v>0</v>
      </c>
      <c r="M24" s="3231">
        <f t="shared" si="8"/>
        <v>0</v>
      </c>
      <c r="N24" s="3232"/>
      <c r="O24" s="3233"/>
      <c r="P24" s="3231">
        <f t="shared" si="9"/>
        <v>0</v>
      </c>
      <c r="R24" s="2541">
        <f t="shared" si="5"/>
        <v>0</v>
      </c>
      <c r="S24" s="3242">
        <f t="shared" si="5"/>
        <v>0</v>
      </c>
    </row>
    <row r="25" spans="1:19">
      <c r="A25" s="3198"/>
      <c r="B25" s="3173" t="s">
        <v>599</v>
      </c>
      <c r="C25" s="3199"/>
      <c r="D25" s="3162">
        <f t="shared" si="6"/>
        <v>0</v>
      </c>
      <c r="E25" s="3195">
        <f t="shared" si="1"/>
        <v>0</v>
      </c>
      <c r="F25" s="3200"/>
      <c r="G25" s="3201"/>
      <c r="H25" s="3161">
        <f t="shared" si="7"/>
        <v>0</v>
      </c>
      <c r="I25" s="3174">
        <f t="shared" si="2"/>
        <v>0</v>
      </c>
      <c r="J25" s="2593"/>
      <c r="K25" s="3230">
        <f t="shared" si="3"/>
        <v>0</v>
      </c>
      <c r="L25" s="2541">
        <f t="shared" si="4"/>
        <v>0</v>
      </c>
      <c r="M25" s="3231">
        <f t="shared" si="8"/>
        <v>0</v>
      </c>
      <c r="N25" s="3232"/>
      <c r="O25" s="3233"/>
      <c r="P25" s="3231">
        <f t="shared" si="9"/>
        <v>0</v>
      </c>
      <c r="R25" s="2541">
        <f t="shared" si="5"/>
        <v>0</v>
      </c>
      <c r="S25" s="3242">
        <f t="shared" si="5"/>
        <v>0</v>
      </c>
    </row>
    <row r="26" spans="1:19">
      <c r="A26" s="3198"/>
      <c r="B26" s="3173" t="s">
        <v>599</v>
      </c>
      <c r="C26" s="3202"/>
      <c r="D26" s="3162">
        <f t="shared" si="6"/>
        <v>0</v>
      </c>
      <c r="E26" s="3195">
        <f t="shared" si="1"/>
        <v>0</v>
      </c>
      <c r="F26" s="3200"/>
      <c r="G26" s="3201"/>
      <c r="H26" s="3161">
        <f t="shared" si="7"/>
        <v>0</v>
      </c>
      <c r="I26" s="3174">
        <f t="shared" si="2"/>
        <v>0</v>
      </c>
      <c r="J26" s="2593"/>
      <c r="K26" s="3156">
        <f t="shared" si="3"/>
        <v>0</v>
      </c>
      <c r="L26" s="3166">
        <f t="shared" si="4"/>
        <v>0</v>
      </c>
      <c r="M26" s="3209">
        <f t="shared" si="8"/>
        <v>0</v>
      </c>
      <c r="N26" s="3234"/>
      <c r="O26" s="3235"/>
      <c r="P26" s="3209">
        <f t="shared" si="9"/>
        <v>0</v>
      </c>
      <c r="R26" s="2541">
        <f t="shared" si="5"/>
        <v>0</v>
      </c>
      <c r="S26" s="3242">
        <f t="shared" si="5"/>
        <v>0</v>
      </c>
    </row>
    <row r="27" ht="15.75" spans="1:19">
      <c r="A27" s="3198"/>
      <c r="B27" s="3162"/>
      <c r="C27" s="2776" t="s">
        <v>600</v>
      </c>
      <c r="D27" s="3203">
        <f>SUM(D19:D26)</f>
        <v>0</v>
      </c>
      <c r="E27" s="3204">
        <f>IF(SUM(E19:E26)='数据-基础表'!BA5,SUM(E19:E26),IF(F27="地上面积有误","面积有误","地下面积有误"))</f>
        <v>211.57</v>
      </c>
      <c r="F27" s="3203">
        <f>IF(SUM(F19:F26)=E8,SUM(F19:F26),"地上面积有误")</f>
        <v>211.57</v>
      </c>
      <c r="G27" s="3205">
        <f>SUM(G19:G26)</f>
        <v>0</v>
      </c>
      <c r="H27" s="3206">
        <f>SUM(H19:H26)</f>
        <v>0</v>
      </c>
      <c r="I27" s="3236">
        <f>SUM(I19:I26)</f>
        <v>0</v>
      </c>
      <c r="J27" s="2593"/>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541">
        <f>IF(SUM(S19:S26)=$E$3,SUM(S19:S26),SUM(S19:S26)&amp;"误差"&amp;ROUND(SUM(S19:S26)-E3,2))</f>
        <v>211.57</v>
      </c>
    </row>
    <row r="28" spans="1:16">
      <c r="A28" s="3198"/>
      <c r="B28" s="3173" t="s">
        <v>601</v>
      </c>
      <c r="C28" s="3118" t="s">
        <v>602</v>
      </c>
      <c r="D28" s="3162">
        <f>ROUND($D$3*E28/$E$3,2)</f>
        <v>0</v>
      </c>
      <c r="E28" s="3195">
        <f>SUM(F28:G28)</f>
        <v>0</v>
      </c>
      <c r="F28" s="2528">
        <f>'数据-基础表'!BQ5+'数据-基础表'!BS5</f>
        <v>0</v>
      </c>
      <c r="G28" s="3207">
        <f>'数据-基础表'!BR5+'数据-基础表'!BT5</f>
        <v>0</v>
      </c>
      <c r="H28" s="3151"/>
      <c r="I28" s="3151"/>
      <c r="J28" s="3151"/>
      <c r="K28" s="3151"/>
      <c r="L28" s="3151"/>
      <c r="M28" s="3151"/>
      <c r="N28" s="3151"/>
      <c r="O28" s="3151"/>
      <c r="P28" s="3151"/>
    </row>
    <row r="29" spans="1:16">
      <c r="A29" s="3198"/>
      <c r="B29" s="3173" t="s">
        <v>601</v>
      </c>
      <c r="C29" s="2591" t="s">
        <v>603</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5" spans="1:16">
      <c r="A30" s="3198"/>
      <c r="B30" s="3173"/>
      <c r="C30" s="3210" t="s">
        <v>600</v>
      </c>
      <c r="D30" s="3203">
        <f>SUM(D28:D29)</f>
        <v>0</v>
      </c>
      <c r="E30" s="3203">
        <f>SUM(E28:E29)</f>
        <v>0</v>
      </c>
      <c r="F30" s="3203">
        <f>SUM(F28:F29)</f>
        <v>0</v>
      </c>
      <c r="G30" s="3205">
        <f>SUM(G28:G29)</f>
        <v>0</v>
      </c>
      <c r="H30" s="3151"/>
      <c r="I30" s="3151"/>
      <c r="J30" s="3151"/>
      <c r="K30" s="3151"/>
      <c r="L30" s="3151"/>
      <c r="M30" s="3151"/>
      <c r="N30" s="3151"/>
      <c r="O30" s="3151"/>
      <c r="P30" s="3151"/>
    </row>
    <row r="31" ht="15.75" spans="1:16">
      <c r="A31" s="3211"/>
      <c r="B31" s="3212"/>
      <c r="C31" s="2465" t="s">
        <v>604</v>
      </c>
      <c r="D31" s="3213">
        <f>D27+D30</f>
        <v>0</v>
      </c>
      <c r="E31" s="3213">
        <f>E27+E30</f>
        <v>211.57</v>
      </c>
      <c r="F31" s="3214">
        <f>F27+F30</f>
        <v>211.57</v>
      </c>
      <c r="G31" s="3215">
        <f>G27+G30</f>
        <v>0</v>
      </c>
      <c r="H31" s="3151"/>
      <c r="I31" s="3151"/>
      <c r="J31" s="3151"/>
      <c r="K31" s="3151"/>
      <c r="L31" s="3151"/>
      <c r="M31" s="3151"/>
      <c r="N31" s="3151"/>
      <c r="O31" s="3151"/>
      <c r="P31" s="3151"/>
    </row>
    <row r="32" spans="1:16">
      <c r="A32" s="3216"/>
      <c r="B32" s="3216" t="s">
        <v>605</v>
      </c>
      <c r="C32" s="3216"/>
      <c r="D32" s="3216"/>
      <c r="E32" s="3217">
        <f>SUMIF(C19:C26,"*住宅*",E19:E26)</f>
        <v>211.57</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M6" activePane="bottomRight" state="frozen"/>
      <selection/>
      <selection pane="topRight"/>
      <selection pane="bottomLeft"/>
      <selection pane="bottomRight" activeCell="N22" sqref="N22"/>
    </sheetView>
  </sheetViews>
  <sheetFormatPr defaultColWidth="13.75" defaultRowHeight="12.75"/>
  <cols>
    <col min="1" max="1" width="20.875" style="2948" customWidth="1"/>
    <col min="2" max="2" width="12" style="2949" customWidth="1"/>
    <col min="3" max="3" width="12.75" style="2949" customWidth="1"/>
    <col min="4" max="4" width="9.125" style="2950" customWidth="1"/>
    <col min="5" max="5" width="15" style="2949" customWidth="1"/>
    <col min="6" max="10" width="8.875" style="2949" customWidth="1"/>
    <col min="11" max="12" width="12.375" style="2951" customWidth="1"/>
    <col min="13" max="13" width="8.625" style="2949" customWidth="1"/>
    <col min="14" max="14" width="11.875" style="2949" customWidth="1"/>
    <col min="15" max="15" width="8.5" style="2949" customWidth="1"/>
    <col min="16" max="17" width="10.875" style="2949" customWidth="1"/>
    <col min="18" max="19" width="12.5" style="2949" customWidth="1"/>
    <col min="20" max="20" width="12.125" style="2949" customWidth="1"/>
    <col min="21" max="21" width="7.5" style="2949" customWidth="1"/>
    <col min="22" max="22" width="6.375" style="2949" customWidth="1"/>
    <col min="23" max="30" width="6.75" style="2949" customWidth="1"/>
    <col min="31" max="31" width="8" style="2949" customWidth="1"/>
    <col min="32" max="34" width="7.25" style="2949" customWidth="1"/>
    <col min="35" max="39" width="8" style="2949" customWidth="1"/>
    <col min="40" max="40" width="13.75" style="2947"/>
    <col min="41" max="41" width="11.625" style="2947" customWidth="1"/>
    <col min="42" max="42" width="9.75" style="2947" customWidth="1"/>
    <col min="43" max="67" width="13.75" style="2947"/>
    <col min="68" max="16384" width="13.75" style="2949"/>
  </cols>
  <sheetData>
    <row r="1" ht="19.5" spans="1:44">
      <c r="A1" s="2952" t="s">
        <v>606</v>
      </c>
      <c r="B1" s="2953"/>
      <c r="C1" s="2105"/>
      <c r="D1" s="2954"/>
      <c r="E1" s="2105"/>
      <c r="F1" s="2105"/>
      <c r="G1" s="2105"/>
      <c r="H1" s="2105"/>
      <c r="I1" s="2105"/>
      <c r="J1" s="2105"/>
      <c r="K1" s="1038"/>
      <c r="L1" s="1038"/>
      <c r="M1" s="2105"/>
      <c r="N1" s="2105"/>
      <c r="O1" s="2105"/>
      <c r="P1" s="2105"/>
      <c r="Q1" s="2105"/>
      <c r="R1" s="2105"/>
      <c r="S1" s="2105"/>
      <c r="T1" s="2105"/>
      <c r="U1" s="2105"/>
      <c r="V1" s="2105"/>
      <c r="W1" s="2105"/>
      <c r="X1" s="2105"/>
      <c r="Y1" s="2105"/>
      <c r="Z1" s="2105"/>
      <c r="AA1" s="2105"/>
      <c r="AB1" s="2105"/>
      <c r="AC1" s="2105"/>
      <c r="AD1" s="2105"/>
      <c r="AE1" s="2105"/>
      <c r="AF1" s="2105"/>
      <c r="AG1" s="2105"/>
      <c r="AH1" s="2105"/>
      <c r="AI1" s="2105"/>
      <c r="AJ1" s="2105"/>
      <c r="AK1" s="2105"/>
      <c r="AL1" s="2105"/>
      <c r="AM1" s="2105"/>
      <c r="AN1" s="2406"/>
      <c r="AO1" s="2406"/>
      <c r="AP1" s="2406"/>
      <c r="AQ1" s="2406"/>
      <c r="AR1" s="2406"/>
    </row>
    <row r="2" s="2944" customFormat="1" ht="15.75" spans="1:67">
      <c r="A2" s="2955" t="s">
        <v>607</v>
      </c>
      <c r="B2" s="2956">
        <f>项目基本情况!D3</f>
        <v>45069</v>
      </c>
      <c r="C2" s="2957"/>
      <c r="D2" s="2958"/>
      <c r="E2" s="2957"/>
      <c r="F2" s="2957"/>
      <c r="G2" s="2957"/>
      <c r="H2" s="2957"/>
      <c r="I2" s="2957"/>
      <c r="J2" s="2957"/>
      <c r="K2" s="3055"/>
      <c r="L2" s="3055"/>
      <c r="M2" s="2957"/>
      <c r="N2" s="2957"/>
      <c r="O2" s="2957"/>
      <c r="P2" s="2957"/>
      <c r="Q2" s="2957"/>
      <c r="R2" s="2957"/>
      <c r="S2" s="2957"/>
      <c r="T2" s="2957"/>
      <c r="U2" s="2957"/>
      <c r="V2" s="2957"/>
      <c r="W2" s="2957"/>
      <c r="X2" s="2957"/>
      <c r="Y2" s="2957"/>
      <c r="Z2" s="2957"/>
      <c r="AA2" s="2957"/>
      <c r="AB2" s="2957"/>
      <c r="AC2" s="2957"/>
      <c r="AD2" s="2957"/>
      <c r="AE2" s="2957"/>
      <c r="AF2" s="2957"/>
      <c r="AG2" s="2957"/>
      <c r="AH2" s="2957"/>
      <c r="AI2" s="2957"/>
      <c r="AJ2" s="2957"/>
      <c r="AK2" s="2957"/>
      <c r="AL2" s="2957"/>
      <c r="AM2" s="2957"/>
      <c r="AN2" s="2990"/>
      <c r="AO2" s="2990"/>
      <c r="AP2" s="2990"/>
      <c r="AQ2" s="2990"/>
      <c r="AR2" s="2990"/>
      <c r="AS2" s="2873"/>
      <c r="AT2" s="2873"/>
      <c r="AU2" s="2873"/>
      <c r="AV2" s="2873"/>
      <c r="AW2" s="2873"/>
      <c r="AX2" s="2873"/>
      <c r="AY2" s="2873"/>
      <c r="AZ2" s="2873"/>
      <c r="BA2" s="2873"/>
      <c r="BB2" s="2873"/>
      <c r="BC2" s="2873"/>
      <c r="BD2" s="2873"/>
      <c r="BE2" s="2873"/>
      <c r="BF2" s="2873"/>
      <c r="BG2" s="2873"/>
      <c r="BH2" s="2873"/>
      <c r="BI2" s="2873"/>
      <c r="BJ2" s="2873"/>
      <c r="BK2" s="2873"/>
      <c r="BL2" s="2873"/>
      <c r="BM2" s="2873"/>
      <c r="BN2" s="2873"/>
      <c r="BO2" s="2873"/>
    </row>
    <row r="3" s="2944" customFormat="1" ht="15" spans="1:67">
      <c r="A3" s="2959"/>
      <c r="B3" s="2960"/>
      <c r="C3" s="2957"/>
      <c r="D3" s="2958"/>
      <c r="E3" s="2957"/>
      <c r="F3" s="2957"/>
      <c r="G3" s="2957"/>
      <c r="H3" s="2957"/>
      <c r="I3" s="2957"/>
      <c r="J3" s="2957"/>
      <c r="K3" s="3055"/>
      <c r="L3" s="3055"/>
      <c r="M3" s="2957"/>
      <c r="N3" s="2957"/>
      <c r="O3" s="2957"/>
      <c r="P3" s="2957"/>
      <c r="Q3" s="2957"/>
      <c r="R3" s="2957"/>
      <c r="S3" s="2957"/>
      <c r="T3" s="2957"/>
      <c r="U3" s="2957"/>
      <c r="V3" s="2957"/>
      <c r="W3" s="2957"/>
      <c r="X3" s="2957"/>
      <c r="Y3" s="2957"/>
      <c r="Z3" s="2957"/>
      <c r="AA3" s="2957"/>
      <c r="AB3" s="2957"/>
      <c r="AC3" s="2957"/>
      <c r="AD3" s="2957"/>
      <c r="AE3" s="2957"/>
      <c r="AF3" s="2957"/>
      <c r="AG3" s="2957"/>
      <c r="AH3" s="2957"/>
      <c r="AI3" s="2957"/>
      <c r="AJ3" s="2957"/>
      <c r="AK3" s="2957"/>
      <c r="AL3" s="2957"/>
      <c r="AM3" s="2957"/>
      <c r="AN3" s="2990"/>
      <c r="AO3" s="2990"/>
      <c r="AP3" s="2990"/>
      <c r="AQ3" s="2990"/>
      <c r="AR3" s="2990"/>
      <c r="AS3" s="2873"/>
      <c r="AT3" s="2873"/>
      <c r="AU3" s="2873"/>
      <c r="AV3" s="2873"/>
      <c r="AW3" s="2873"/>
      <c r="AX3" s="2873"/>
      <c r="AY3" s="2873"/>
      <c r="AZ3" s="2873"/>
      <c r="BA3" s="2873"/>
      <c r="BB3" s="2873"/>
      <c r="BC3" s="2873"/>
      <c r="BD3" s="2873"/>
      <c r="BE3" s="2873"/>
      <c r="BF3" s="2873"/>
      <c r="BG3" s="2873"/>
      <c r="BH3" s="2873"/>
      <c r="BI3" s="2873"/>
      <c r="BJ3" s="2873"/>
      <c r="BK3" s="2873"/>
      <c r="BL3" s="2873"/>
      <c r="BM3" s="2873"/>
      <c r="BN3" s="2873"/>
      <c r="BO3" s="2873"/>
    </row>
    <row r="4" s="2944" customFormat="1" ht="15" spans="1:67">
      <c r="A4" s="1617" t="s">
        <v>608</v>
      </c>
      <c r="B4" s="2548"/>
      <c r="C4" s="2961"/>
      <c r="D4" s="2962"/>
      <c r="E4" s="2961" t="s">
        <v>609</v>
      </c>
      <c r="F4" s="2961"/>
      <c r="G4" s="2961"/>
      <c r="H4" s="2961"/>
      <c r="I4" s="2961"/>
      <c r="J4" s="3056"/>
      <c r="K4" s="3057"/>
      <c r="L4" s="3058"/>
      <c r="M4" s="2961"/>
      <c r="N4" s="2961" t="s">
        <v>610</v>
      </c>
      <c r="O4" s="2961"/>
      <c r="P4" s="2961"/>
      <c r="Q4" s="2961"/>
      <c r="R4" s="2961"/>
      <c r="S4" s="3056"/>
      <c r="T4" s="3081" t="str">
        <f>'数据-汇总表'!I17</f>
        <v>按面积比例</v>
      </c>
      <c r="U4" s="2548" t="s">
        <v>611</v>
      </c>
      <c r="V4" s="2961"/>
      <c r="W4" s="2961"/>
      <c r="X4" s="2961"/>
      <c r="Y4" s="3056"/>
      <c r="Z4" s="3109" t="s">
        <v>612</v>
      </c>
      <c r="AA4" s="3109"/>
      <c r="AB4" s="3109"/>
      <c r="AC4" s="3109"/>
      <c r="AD4" s="3109"/>
      <c r="AE4" s="3110" t="s">
        <v>613</v>
      </c>
      <c r="AF4" s="3109"/>
      <c r="AG4" s="3122"/>
      <c r="AH4" s="2548"/>
      <c r="AI4" s="2961"/>
      <c r="AJ4" s="2961"/>
      <c r="AK4" s="2961"/>
      <c r="AL4" s="2961"/>
      <c r="AM4" s="3056"/>
      <c r="AN4" s="2990"/>
      <c r="AO4" s="2990"/>
      <c r="AP4" s="2990"/>
      <c r="AQ4" s="2990"/>
      <c r="AR4" s="2990"/>
      <c r="AS4" s="2873"/>
      <c r="AT4" s="2873"/>
      <c r="AU4" s="2873"/>
      <c r="AV4" s="2873"/>
      <c r="AW4" s="2873"/>
      <c r="AX4" s="2873"/>
      <c r="AY4" s="2873"/>
      <c r="AZ4" s="2873"/>
      <c r="BA4" s="2873"/>
      <c r="BB4" s="2873"/>
      <c r="BC4" s="2873"/>
      <c r="BD4" s="2873"/>
      <c r="BE4" s="2873"/>
      <c r="BF4" s="2873"/>
      <c r="BG4" s="2873"/>
      <c r="BH4" s="2873"/>
      <c r="BI4" s="2873"/>
      <c r="BJ4" s="2873"/>
      <c r="BK4" s="2873"/>
      <c r="BL4" s="2873"/>
      <c r="BM4" s="2873"/>
      <c r="BN4" s="2873"/>
      <c r="BO4" s="2873"/>
    </row>
    <row r="5" s="2945" customFormat="1" ht="42" spans="1:67">
      <c r="A5" s="2963" t="s">
        <v>586</v>
      </c>
      <c r="B5" s="2964" t="s">
        <v>585</v>
      </c>
      <c r="C5" s="2965" t="s">
        <v>614</v>
      </c>
      <c r="D5" s="2966" t="s">
        <v>615</v>
      </c>
      <c r="E5" s="2967" t="s">
        <v>616</v>
      </c>
      <c r="F5" s="2968" t="s">
        <v>617</v>
      </c>
      <c r="G5" s="2967" t="s">
        <v>618</v>
      </c>
      <c r="H5" s="2967" t="s">
        <v>619</v>
      </c>
      <c r="I5" s="2967" t="s">
        <v>620</v>
      </c>
      <c r="J5" s="3059" t="s">
        <v>621</v>
      </c>
      <c r="K5" s="3060" t="s">
        <v>595</v>
      </c>
      <c r="L5" s="3061" t="s">
        <v>622</v>
      </c>
      <c r="M5" s="3062" t="s">
        <v>623</v>
      </c>
      <c r="N5" s="3063" t="s">
        <v>624</v>
      </c>
      <c r="O5" s="3061" t="s">
        <v>625</v>
      </c>
      <c r="P5" s="3064" t="s">
        <v>626</v>
      </c>
      <c r="Q5" s="1503" t="s">
        <v>627</v>
      </c>
      <c r="R5" s="3082" t="s">
        <v>628</v>
      </c>
      <c r="S5" s="3083" t="s">
        <v>629</v>
      </c>
      <c r="T5" s="3084" t="s">
        <v>630</v>
      </c>
      <c r="U5" s="3085" t="s">
        <v>631</v>
      </c>
      <c r="V5" s="2967" t="s">
        <v>632</v>
      </c>
      <c r="W5" s="2967" t="s">
        <v>633</v>
      </c>
      <c r="X5" s="1161"/>
      <c r="Y5" s="1634" t="s">
        <v>634</v>
      </c>
      <c r="Z5" s="3111" t="s">
        <v>631</v>
      </c>
      <c r="AA5" s="2967" t="s">
        <v>632</v>
      </c>
      <c r="AB5" s="2967" t="s">
        <v>633</v>
      </c>
      <c r="AC5" s="1161"/>
      <c r="AD5" s="1161" t="s">
        <v>634</v>
      </c>
      <c r="AE5" s="3085" t="s">
        <v>635</v>
      </c>
      <c r="AF5" s="2967" t="s">
        <v>636</v>
      </c>
      <c r="AG5" s="1634" t="s">
        <v>637</v>
      </c>
      <c r="AH5" s="3085" t="s">
        <v>638</v>
      </c>
      <c r="AI5" s="3111" t="s">
        <v>639</v>
      </c>
      <c r="AJ5" s="3111" t="s">
        <v>640</v>
      </c>
      <c r="AK5" s="2967" t="s">
        <v>641</v>
      </c>
      <c r="AL5" s="2967" t="s">
        <v>642</v>
      </c>
      <c r="AM5" s="1634" t="s">
        <v>643</v>
      </c>
      <c r="AN5" s="3123" t="s">
        <v>644</v>
      </c>
      <c r="AO5" s="3141" t="s">
        <v>645</v>
      </c>
      <c r="AP5" s="3142" t="s">
        <v>646</v>
      </c>
      <c r="AQ5" s="3143" t="s">
        <v>647</v>
      </c>
      <c r="AR5" s="3143" t="s">
        <v>648</v>
      </c>
      <c r="AS5" s="2874"/>
      <c r="AT5" s="2874"/>
      <c r="AU5" s="2874"/>
      <c r="AV5" s="2874"/>
      <c r="AW5" s="2874"/>
      <c r="AX5" s="2874"/>
      <c r="AY5" s="2874"/>
      <c r="AZ5" s="2874"/>
      <c r="BA5" s="2874"/>
      <c r="BB5" s="2874"/>
      <c r="BC5" s="2874"/>
      <c r="BD5" s="2874"/>
      <c r="BE5" s="2874"/>
      <c r="BF5" s="2874"/>
      <c r="BG5" s="2874"/>
      <c r="BH5" s="2874"/>
      <c r="BI5" s="2874"/>
      <c r="BJ5" s="2874"/>
      <c r="BK5" s="2874"/>
      <c r="BL5" s="2874"/>
      <c r="BM5" s="2874"/>
      <c r="BN5" s="2874"/>
      <c r="BO5" s="2874"/>
    </row>
    <row r="6" s="2944" customFormat="1" ht="14.25" spans="1:67">
      <c r="A6" s="2969" t="str">
        <f>'数据-汇总表'!C19</f>
        <v>住宅</v>
      </c>
      <c r="B6" s="2970" t="str">
        <f>IF(A6=0,"","经营性")</f>
        <v>经营性</v>
      </c>
      <c r="C6" s="2971" t="s">
        <v>412</v>
      </c>
      <c r="D6" s="2972">
        <f>SUMIF(项目基本情况!C$12:I$12,C6,项目基本情况!C$14:I$14)</f>
        <v>70</v>
      </c>
      <c r="E6" s="2973">
        <f>IF(B6="","",SUMIF(项目基本情况!C$12:I$12,C6,项目基本情况!C$13:I$13))</f>
        <v>62094</v>
      </c>
      <c r="F6" s="2974">
        <f>SUMIF(项目基本情况!C$12:I$12,C6,项目基本情况!C$15:I$15)</f>
        <v>46.64</v>
      </c>
      <c r="G6" s="2975">
        <f>IF(ISERROR(ROUND(POWER(1+H6,D6-F6)*(POWER(1+H6,F6)-1)/(POWER(1+H6,D6)-1),3)),0,ROUND(POWER(1+H6,D6-F6)*(POWER(1+H6,F6)-1)/(POWER(1+H6,D6)-1),3))</f>
        <v>0.897</v>
      </c>
      <c r="H6" s="2976">
        <v>0.04</v>
      </c>
      <c r="I6" s="2976">
        <v>0.04</v>
      </c>
      <c r="J6" s="2977">
        <v>0.075</v>
      </c>
      <c r="K6" s="3065">
        <f>SUMIF('数据-汇总表'!C$19:C$33,A6,'数据-汇总表'!E$19:E$33)</f>
        <v>211.57</v>
      </c>
      <c r="L6" s="3066">
        <v>4500</v>
      </c>
      <c r="M6" s="3067">
        <f t="shared" ref="M6:M14" si="0">ROUND(K6*L6/10000,0)</f>
        <v>95</v>
      </c>
      <c r="N6" s="3068">
        <v>0.72</v>
      </c>
      <c r="O6" s="3067" t="str">
        <f>IF($N$5="成新度","——",ROUND(M6*N6,0))</f>
        <v>——</v>
      </c>
      <c r="P6" s="3069" t="str">
        <f>IF($N$5="成新度","——",M6-O6)</f>
        <v>——</v>
      </c>
      <c r="Q6" s="3086">
        <v>0.2</v>
      </c>
      <c r="R6" s="3087">
        <f ca="1">SUMIF('数据-汇总表'!C$19:C$33,A6,'数据-汇总表'!R$19:R$27)</f>
        <v>0</v>
      </c>
      <c r="S6" s="3088">
        <f>IF('数据-汇总表'!$I$17="按面积比例",SUMIF('数据-汇总表'!C$19:C$33,A6,'数据-汇总表'!K$19:K$33),SUMIF('数据-汇总表'!C$19:C$33,A6,'数据-汇总表'!N$19:N$33))</f>
        <v>0</v>
      </c>
      <c r="T6" s="3089">
        <f>ROUND($L$14*S6/10000,0)</f>
        <v>0</v>
      </c>
      <c r="U6" s="3090">
        <v>144</v>
      </c>
      <c r="V6" s="3091">
        <v>0.03</v>
      </c>
      <c r="W6" s="3091">
        <v>0.05</v>
      </c>
      <c r="X6" s="3092"/>
      <c r="Y6" s="3112">
        <f>N6</f>
        <v>0.72</v>
      </c>
      <c r="Z6" s="3113"/>
      <c r="AA6" s="2977"/>
      <c r="AB6" s="2977"/>
      <c r="AC6" s="3092"/>
      <c r="AD6" s="3114"/>
      <c r="AE6" s="3115">
        <f ca="1">IF(AN6="",0,SUMIF(INDIRECT("'"&amp;AN6&amp;"'"&amp;"!E:E"),$AE$5,INDIRECT("'"&amp;AN6&amp;"'"&amp;"!F:F")))</f>
        <v>46.64</v>
      </c>
      <c r="AF6" s="2523"/>
      <c r="AG6" s="2354">
        <f ca="1">IF(AF6="",0,AE6-AF6)</f>
        <v>0</v>
      </c>
      <c r="AH6" s="3124"/>
      <c r="AI6" s="3125">
        <v>12</v>
      </c>
      <c r="AJ6" s="3126"/>
      <c r="AK6" s="3127">
        <v>0.01</v>
      </c>
      <c r="AL6" s="3128">
        <v>0.001</v>
      </c>
      <c r="AM6" s="3129">
        <v>0.01</v>
      </c>
      <c r="AN6" s="3130" t="s">
        <v>266</v>
      </c>
      <c r="AO6" s="1377">
        <f ca="1">SUMIF(INDIRECT("'"&amp;AN6&amp;"'"&amp;"!A:A"),"总价",INDIRECT("'"&amp;AN6&amp;"'"&amp;"!B:B"))</f>
        <v>1242.8229</v>
      </c>
      <c r="AP6" s="3144">
        <f>IF(C6="住宅",K6*L6,0)</f>
        <v>952065</v>
      </c>
      <c r="AQ6" s="1377">
        <f>ROUND($L$14*$N$14*S6/10000,0)</f>
        <v>0</v>
      </c>
      <c r="AR6" s="1377">
        <f>ROUND($L$14*(1-$N$14)*S6/10000,0)</f>
        <v>0</v>
      </c>
      <c r="AS6" s="2873"/>
      <c r="AT6" s="2873"/>
      <c r="AU6" s="2873"/>
      <c r="AV6" s="2873"/>
      <c r="AW6" s="2873"/>
      <c r="AX6" s="2873"/>
      <c r="AY6" s="2873"/>
      <c r="AZ6" s="2873"/>
      <c r="BA6" s="2873"/>
      <c r="BB6" s="2873"/>
      <c r="BC6" s="2873"/>
      <c r="BD6" s="2873"/>
      <c r="BE6" s="2873"/>
      <c r="BF6" s="2873"/>
      <c r="BG6" s="2873"/>
      <c r="BH6" s="2873"/>
      <c r="BI6" s="2873"/>
      <c r="BJ6" s="2873"/>
      <c r="BK6" s="2873"/>
      <c r="BL6" s="2873"/>
      <c r="BM6" s="2873"/>
      <c r="BN6" s="2873"/>
      <c r="BO6" s="2873"/>
    </row>
    <row r="7" s="2944" customFormat="1" ht="14.25" spans="1:67">
      <c r="A7" s="2969">
        <f>'数据-汇总表'!C20</f>
        <v>0</v>
      </c>
      <c r="B7" s="2970" t="str">
        <f t="shared" ref="B7:B13" si="1">IF(A7=0,"","经营性")</f>
        <v/>
      </c>
      <c r="C7" s="2971"/>
      <c r="D7" s="2972">
        <f>SUMIF(项目基本情况!C$12:I$12,C7,项目基本情况!C$14:I$14)</f>
        <v>0</v>
      </c>
      <c r="E7" s="2973" t="str">
        <f>IF(B7="","",SUMIF(项目基本情况!C$12:I$12,C7,项目基本情况!C$13:I$13))</f>
        <v/>
      </c>
      <c r="F7" s="2974">
        <f>SUMIF(项目基本情况!C$12:I$12,C7,项目基本情况!C$15:I$15)</f>
        <v>0</v>
      </c>
      <c r="G7" s="2975">
        <f t="shared" ref="G7:G13" si="2">IF(ISERROR(ROUND(POWER(1+H7,D7-F7)*(POWER(1+H7,F7)-1)/(POWER(1+H7,D7)-1),3)),0,ROUND(POWER(1+H7,D7-F7)*(POWER(1+H7,F7)-1)/(POWER(1+H7,D7)-1),3))</f>
        <v>0</v>
      </c>
      <c r="H7" s="2976"/>
      <c r="I7" s="2976"/>
      <c r="J7" s="2977"/>
      <c r="K7" s="3065">
        <f>SUMIF('数据-汇总表'!C$19:C$33,A7,'数据-汇总表'!E$19:E$33)</f>
        <v>0</v>
      </c>
      <c r="L7" s="3070"/>
      <c r="M7" s="3067">
        <f t="shared" si="0"/>
        <v>0</v>
      </c>
      <c r="N7" s="3068"/>
      <c r="O7" s="3067" t="str">
        <f t="shared" ref="O7:O14" si="3">IF($N$5="成新度","——",ROUND(M7*N7,0))</f>
        <v>——</v>
      </c>
      <c r="P7" s="3069" t="str">
        <f t="shared" ref="P7:P14" si="4">IF($N$5="成新度","——",M7-O7)</f>
        <v>——</v>
      </c>
      <c r="Q7" s="3093"/>
      <c r="R7" s="3087">
        <f ca="1">SUMIF('数据-汇总表'!C$19:C$33,A7,'数据-汇总表'!R$19:R$27)</f>
        <v>0</v>
      </c>
      <c r="S7" s="3088">
        <f>IF('数据-汇总表'!$I$17="按面积比例",SUMIF('数据-汇总表'!C$19:C$33,A7,'数据-汇总表'!K$19:K$33),SUMIF('数据-汇总表'!C$19:C$33,A7,'数据-汇总表'!N$19:N$33))</f>
        <v>0</v>
      </c>
      <c r="T7" s="3089">
        <f t="shared" ref="T7:T13" si="5">ROUND($L$14*S7/10000,0)</f>
        <v>0</v>
      </c>
      <c r="U7" s="3090"/>
      <c r="V7" s="3091"/>
      <c r="W7" s="3091"/>
      <c r="X7" s="3092"/>
      <c r="Y7" s="3112"/>
      <c r="Z7" s="3113"/>
      <c r="AA7" s="2977"/>
      <c r="AB7" s="2977"/>
      <c r="AC7" s="3092"/>
      <c r="AD7" s="3114"/>
      <c r="AE7" s="3115">
        <f ca="1" t="shared" ref="AE7:AE13" si="6">IF(AN7="",0,SUMIF(INDIRECT("'"&amp;AN7&amp;"'"&amp;"!E:E"),$AE$5,INDIRECT("'"&amp;AN7&amp;"'"&amp;"!F:F")))</f>
        <v>0</v>
      </c>
      <c r="AF7" s="2523"/>
      <c r="AG7" s="2354">
        <f ca="1" t="shared" ref="AG7:AG13" si="7">IF(AF7="",0,AE7-AF7)</f>
        <v>0</v>
      </c>
      <c r="AH7" s="3124"/>
      <c r="AI7" s="3125"/>
      <c r="AJ7" s="3126"/>
      <c r="AK7" s="3127"/>
      <c r="AL7" s="3128"/>
      <c r="AM7" s="3129"/>
      <c r="AN7" s="3130"/>
      <c r="AO7" s="1377" t="e">
        <f ca="1" t="shared" ref="AO7:AO13" si="8">SUMIF(INDIRECT("'"&amp;AN7&amp;"'"&amp;"!A:A"),"总价",INDIRECT("'"&amp;AN7&amp;"'"&amp;"!B:B"))</f>
        <v>#REF!</v>
      </c>
      <c r="AP7" s="3144">
        <f t="shared" ref="AP7:AP13" si="9">IF(C7="住宅",K7*L7,0)</f>
        <v>0</v>
      </c>
      <c r="AQ7" s="1377">
        <f t="shared" ref="AQ7:AQ13" si="10">ROUND($L$14*$N$14*S7/10000,0)</f>
        <v>0</v>
      </c>
      <c r="AR7" s="1377">
        <f t="shared" ref="AR7:AR13" si="11">ROUND($L$14*(1-$N$14)*S7/10000,0)</f>
        <v>0</v>
      </c>
      <c r="AS7" s="2873"/>
      <c r="AT7" s="2873"/>
      <c r="AU7" s="2873"/>
      <c r="AV7" s="2873"/>
      <c r="AW7" s="2873"/>
      <c r="AX7" s="2873"/>
      <c r="AY7" s="2873"/>
      <c r="AZ7" s="2873"/>
      <c r="BA7" s="2873"/>
      <c r="BB7" s="2873"/>
      <c r="BC7" s="2873"/>
      <c r="BD7" s="2873"/>
      <c r="BE7" s="2873"/>
      <c r="BF7" s="2873"/>
      <c r="BG7" s="2873"/>
      <c r="BH7" s="2873"/>
      <c r="BI7" s="2873"/>
      <c r="BJ7" s="2873"/>
      <c r="BK7" s="2873"/>
      <c r="BL7" s="2873"/>
      <c r="BM7" s="2873"/>
      <c r="BN7" s="2873"/>
      <c r="BO7" s="2873"/>
    </row>
    <row r="8" s="2944" customFormat="1" ht="14.25" spans="1:67">
      <c r="A8" s="2969">
        <f>'数据-汇总表'!C21</f>
        <v>0</v>
      </c>
      <c r="B8" s="2970" t="str">
        <f t="shared" si="1"/>
        <v/>
      </c>
      <c r="C8" s="2971"/>
      <c r="D8" s="2972">
        <f>SUMIF(项目基本情况!C$12:I$12,C8,项目基本情况!C$14:I$14)</f>
        <v>0</v>
      </c>
      <c r="E8" s="2973" t="str">
        <f>IF(B8="","",SUMIF(项目基本情况!C$12:I$12,C8,项目基本情况!C$13:I$13))</f>
        <v/>
      </c>
      <c r="F8" s="2974">
        <f>SUMIF(项目基本情况!C$12:I$12,C8,项目基本情况!C$15:I$15)</f>
        <v>0</v>
      </c>
      <c r="G8" s="2975">
        <f t="shared" si="2"/>
        <v>0</v>
      </c>
      <c r="H8" s="2976"/>
      <c r="I8" s="2976"/>
      <c r="J8" s="2977"/>
      <c r="K8" s="3065">
        <f>SUMIF('数据-汇总表'!C$19:C$33,A8,'数据-汇总表'!E$19:E$33)</f>
        <v>0</v>
      </c>
      <c r="L8" s="3070"/>
      <c r="M8" s="3067">
        <f t="shared" si="0"/>
        <v>0</v>
      </c>
      <c r="N8" s="3068"/>
      <c r="O8" s="3067" t="str">
        <f t="shared" si="3"/>
        <v>——</v>
      </c>
      <c r="P8" s="3069" t="str">
        <f t="shared" si="4"/>
        <v>——</v>
      </c>
      <c r="Q8" s="3093"/>
      <c r="R8" s="3087">
        <f ca="1">SUMIF('数据-汇总表'!C$19:C$33,A8,'数据-汇总表'!R$19:R$27)</f>
        <v>0</v>
      </c>
      <c r="S8" s="3088">
        <f>IF('数据-汇总表'!$I$17="按面积比例",SUMIF('数据-汇总表'!C$19:C$33,A8,'数据-汇总表'!K$19:K$33),SUMIF('数据-汇总表'!C$19:C$33,A8,'数据-汇总表'!N$19:N$33))</f>
        <v>0</v>
      </c>
      <c r="T8" s="3089">
        <f t="shared" si="5"/>
        <v>0</v>
      </c>
      <c r="U8" s="3094"/>
      <c r="V8" s="3095"/>
      <c r="W8" s="3095"/>
      <c r="X8" s="3092"/>
      <c r="Y8" s="3112"/>
      <c r="Z8" s="3113"/>
      <c r="AA8" s="2977"/>
      <c r="AB8" s="2977"/>
      <c r="AC8" s="3092"/>
      <c r="AD8" s="3114"/>
      <c r="AE8" s="3115">
        <f ca="1" t="shared" si="6"/>
        <v>0</v>
      </c>
      <c r="AF8" s="2523"/>
      <c r="AG8" s="2354">
        <f ca="1" t="shared" si="7"/>
        <v>0</v>
      </c>
      <c r="AH8" s="3131"/>
      <c r="AI8" s="3125"/>
      <c r="AJ8" s="3126"/>
      <c r="AK8" s="3132"/>
      <c r="AL8" s="3133"/>
      <c r="AM8" s="3134"/>
      <c r="AN8" s="3130"/>
      <c r="AO8" s="1377" t="e">
        <f ca="1" t="shared" si="8"/>
        <v>#REF!</v>
      </c>
      <c r="AP8" s="3144">
        <f t="shared" si="9"/>
        <v>0</v>
      </c>
      <c r="AQ8" s="1377">
        <f t="shared" si="10"/>
        <v>0</v>
      </c>
      <c r="AR8" s="1377">
        <f t="shared" si="11"/>
        <v>0</v>
      </c>
      <c r="AS8" s="2873"/>
      <c r="AT8" s="2873"/>
      <c r="AU8" s="2873"/>
      <c r="AV8" s="2873"/>
      <c r="AW8" s="2873"/>
      <c r="AX8" s="2873"/>
      <c r="AY8" s="2873"/>
      <c r="AZ8" s="2873"/>
      <c r="BA8" s="2873"/>
      <c r="BB8" s="2873"/>
      <c r="BC8" s="2873"/>
      <c r="BD8" s="2873"/>
      <c r="BE8" s="2873"/>
      <c r="BF8" s="2873"/>
      <c r="BG8" s="2873"/>
      <c r="BH8" s="2873"/>
      <c r="BI8" s="2873"/>
      <c r="BJ8" s="2873"/>
      <c r="BK8" s="2873"/>
      <c r="BL8" s="2873"/>
      <c r="BM8" s="2873"/>
      <c r="BN8" s="2873"/>
      <c r="BO8" s="2873"/>
    </row>
    <row r="9" s="2944" customFormat="1" ht="14.25" spans="1:67">
      <c r="A9" s="2969">
        <f>'数据-汇总表'!C22</f>
        <v>0</v>
      </c>
      <c r="B9" s="2970" t="str">
        <f t="shared" si="1"/>
        <v/>
      </c>
      <c r="C9" s="2971"/>
      <c r="D9" s="2972">
        <f>SUMIF(项目基本情况!C$12:I$12,C9,项目基本情况!C$14:I$14)</f>
        <v>0</v>
      </c>
      <c r="E9" s="2973" t="str">
        <f>IF(B9="","",SUMIF(项目基本情况!C$12:I$12,C9,项目基本情况!C$13:I$13))</f>
        <v/>
      </c>
      <c r="F9" s="2974">
        <f>SUMIF(项目基本情况!C$12:I$12,C9,项目基本情况!C$15:I$15)</f>
        <v>0</v>
      </c>
      <c r="G9" s="2975">
        <f t="shared" si="2"/>
        <v>0</v>
      </c>
      <c r="H9" s="2977"/>
      <c r="I9" s="2977"/>
      <c r="J9" s="2977"/>
      <c r="K9" s="3065">
        <f>SUMIF('数据-汇总表'!C$19:C$33,A9,'数据-汇总表'!E$19:E$33)</f>
        <v>0</v>
      </c>
      <c r="L9" s="3070"/>
      <c r="M9" s="3067">
        <f t="shared" si="0"/>
        <v>0</v>
      </c>
      <c r="N9" s="3068"/>
      <c r="O9" s="3067" t="str">
        <f t="shared" si="3"/>
        <v>——</v>
      </c>
      <c r="P9" s="3069" t="str">
        <f t="shared" si="4"/>
        <v>——</v>
      </c>
      <c r="Q9" s="3096"/>
      <c r="R9" s="3087">
        <f ca="1">SUMIF('数据-汇总表'!C$19:C$33,A9,'数据-汇总表'!R$19:R$27)</f>
        <v>0</v>
      </c>
      <c r="S9" s="3088">
        <f>IF('数据-汇总表'!$I$17="按面积比例",SUMIF('数据-汇总表'!C$19:C$33,A9,'数据-汇总表'!K$19:K$33),SUMIF('数据-汇总表'!C$19:C$33,A9,'数据-汇总表'!N$19:N$33))</f>
        <v>0</v>
      </c>
      <c r="T9" s="3089">
        <f t="shared" si="5"/>
        <v>0</v>
      </c>
      <c r="U9" s="3090"/>
      <c r="V9" s="3091"/>
      <c r="W9" s="3091"/>
      <c r="X9" s="3092"/>
      <c r="Y9" s="3112"/>
      <c r="Z9" s="3113"/>
      <c r="AA9" s="2977"/>
      <c r="AB9" s="2977"/>
      <c r="AC9" s="3092"/>
      <c r="AD9" s="3114"/>
      <c r="AE9" s="3115">
        <f ca="1" t="shared" si="6"/>
        <v>0</v>
      </c>
      <c r="AF9" s="2523"/>
      <c r="AG9" s="2354">
        <f ca="1" t="shared" si="7"/>
        <v>0</v>
      </c>
      <c r="AH9" s="3124"/>
      <c r="AI9" s="3125"/>
      <c r="AJ9" s="3126"/>
      <c r="AK9" s="3127"/>
      <c r="AL9" s="3128"/>
      <c r="AM9" s="3129"/>
      <c r="AN9" s="3130"/>
      <c r="AO9" s="1377" t="e">
        <f ca="1" t="shared" si="8"/>
        <v>#REF!</v>
      </c>
      <c r="AP9" s="3144">
        <f t="shared" si="9"/>
        <v>0</v>
      </c>
      <c r="AQ9" s="1377">
        <f t="shared" si="10"/>
        <v>0</v>
      </c>
      <c r="AR9" s="1377">
        <f t="shared" si="11"/>
        <v>0</v>
      </c>
      <c r="AS9" s="2873"/>
      <c r="AT9" s="2873"/>
      <c r="AU9" s="2873"/>
      <c r="AV9" s="2873"/>
      <c r="AW9" s="2873"/>
      <c r="AX9" s="2873"/>
      <c r="AY9" s="2873"/>
      <c r="AZ9" s="2873"/>
      <c r="BA9" s="2873"/>
      <c r="BB9" s="2873"/>
      <c r="BC9" s="2873"/>
      <c r="BD9" s="2873"/>
      <c r="BE9" s="2873"/>
      <c r="BF9" s="2873"/>
      <c r="BG9" s="2873"/>
      <c r="BH9" s="2873"/>
      <c r="BI9" s="2873"/>
      <c r="BJ9" s="2873"/>
      <c r="BK9" s="2873"/>
      <c r="BL9" s="2873"/>
      <c r="BM9" s="2873"/>
      <c r="BN9" s="2873"/>
      <c r="BO9" s="2873"/>
    </row>
    <row r="10" s="2944" customFormat="1" ht="14.25" spans="1:67">
      <c r="A10" s="2969">
        <f>'数据-汇总表'!C23</f>
        <v>0</v>
      </c>
      <c r="B10" s="2970" t="str">
        <f t="shared" si="1"/>
        <v/>
      </c>
      <c r="C10" s="2971"/>
      <c r="D10" s="2972">
        <f>SUMIF(项目基本情况!C$12:I$12,C10,项目基本情况!C$14:I$14)</f>
        <v>0</v>
      </c>
      <c r="E10" s="2973" t="str">
        <f>IF(B10="","",SUMIF(项目基本情况!C$12:I$12,C10,项目基本情况!C$13:I$13))</f>
        <v/>
      </c>
      <c r="F10" s="2974">
        <f>SUMIF(项目基本情况!C$12:I$12,C10,项目基本情况!C$15:I$15)</f>
        <v>0</v>
      </c>
      <c r="G10" s="2975">
        <f t="shared" si="2"/>
        <v>0</v>
      </c>
      <c r="H10" s="2977"/>
      <c r="I10" s="2977"/>
      <c r="J10" s="2977"/>
      <c r="K10" s="3065">
        <f>SUMIF('数据-汇总表'!C$19:C$33,A10,'数据-汇总表'!E$19:E$33)</f>
        <v>0</v>
      </c>
      <c r="L10" s="3070"/>
      <c r="M10" s="3067">
        <f t="shared" si="0"/>
        <v>0</v>
      </c>
      <c r="N10" s="3068"/>
      <c r="O10" s="3067" t="str">
        <f t="shared" si="3"/>
        <v>——</v>
      </c>
      <c r="P10" s="3069" t="str">
        <f t="shared" si="4"/>
        <v>——</v>
      </c>
      <c r="Q10" s="3096"/>
      <c r="R10" s="3087">
        <f ca="1">SUMIF('数据-汇总表'!C$19:C$33,A10,'数据-汇总表'!R$19:R$27)</f>
        <v>0</v>
      </c>
      <c r="S10" s="3088">
        <f>IF('数据-汇总表'!$I$17="按面积比例",SUMIF('数据-汇总表'!C$19:C$33,A10,'数据-汇总表'!K$19:K$33),SUMIF('数据-汇总表'!C$19:C$33,A10,'数据-汇总表'!N$19:N$33))</f>
        <v>0</v>
      </c>
      <c r="T10" s="3089">
        <f t="shared" si="5"/>
        <v>0</v>
      </c>
      <c r="U10" s="3090"/>
      <c r="V10" s="3091"/>
      <c r="W10" s="3091"/>
      <c r="X10" s="3092"/>
      <c r="Y10" s="3112"/>
      <c r="Z10" s="3113"/>
      <c r="AA10" s="2977"/>
      <c r="AB10" s="2977"/>
      <c r="AC10" s="3092"/>
      <c r="AD10" s="3114"/>
      <c r="AE10" s="3115">
        <f ca="1" t="shared" si="6"/>
        <v>0</v>
      </c>
      <c r="AF10" s="2523"/>
      <c r="AG10" s="2354">
        <f ca="1" t="shared" si="7"/>
        <v>0</v>
      </c>
      <c r="AH10" s="3124"/>
      <c r="AI10" s="3125"/>
      <c r="AJ10" s="3126"/>
      <c r="AK10" s="3127"/>
      <c r="AL10" s="3128"/>
      <c r="AM10" s="3129"/>
      <c r="AN10" s="3130"/>
      <c r="AO10" s="1377" t="e">
        <f ca="1" t="shared" si="8"/>
        <v>#REF!</v>
      </c>
      <c r="AP10" s="3144">
        <f t="shared" si="9"/>
        <v>0</v>
      </c>
      <c r="AQ10" s="1377">
        <f t="shared" si="10"/>
        <v>0</v>
      </c>
      <c r="AR10" s="1377">
        <f t="shared" si="11"/>
        <v>0</v>
      </c>
      <c r="AS10" s="2873"/>
      <c r="AT10" s="2873"/>
      <c r="AU10" s="2873"/>
      <c r="AV10" s="2873"/>
      <c r="AW10" s="2873"/>
      <c r="AX10" s="2873"/>
      <c r="AY10" s="2873"/>
      <c r="AZ10" s="2873"/>
      <c r="BA10" s="2873"/>
      <c r="BB10" s="2873"/>
      <c r="BC10" s="2873"/>
      <c r="BD10" s="2873"/>
      <c r="BE10" s="2873"/>
      <c r="BF10" s="2873"/>
      <c r="BG10" s="2873"/>
      <c r="BH10" s="2873"/>
      <c r="BI10" s="2873"/>
      <c r="BJ10" s="2873"/>
      <c r="BK10" s="2873"/>
      <c r="BL10" s="2873"/>
      <c r="BM10" s="2873"/>
      <c r="BN10" s="2873"/>
      <c r="BO10" s="2873"/>
    </row>
    <row r="11" s="2944" customFormat="1" ht="14.25" spans="1:67">
      <c r="A11" s="2969">
        <f>'数据-汇总表'!C24</f>
        <v>0</v>
      </c>
      <c r="B11" s="2970" t="str">
        <f t="shared" si="1"/>
        <v/>
      </c>
      <c r="C11" s="2971"/>
      <c r="D11" s="2972">
        <f>SUMIF(项目基本情况!C$12:I$12,C11,项目基本情况!C$14:I$14)</f>
        <v>0</v>
      </c>
      <c r="E11" s="2973" t="str">
        <f>IF(B11="","",SUMIF(项目基本情况!C$12:I$12,C11,项目基本情况!C$13:I$13))</f>
        <v/>
      </c>
      <c r="F11" s="2974">
        <f>SUMIF(项目基本情况!C$12:I$12,C11,项目基本情况!C$15:I$15)</f>
        <v>0</v>
      </c>
      <c r="G11" s="2975">
        <f t="shared" si="2"/>
        <v>0</v>
      </c>
      <c r="H11" s="2977"/>
      <c r="I11" s="2977"/>
      <c r="J11" s="2977"/>
      <c r="K11" s="3065">
        <f>SUMIF('数据-汇总表'!C$19:C$33,A11,'数据-汇总表'!E$19:E$33)</f>
        <v>0</v>
      </c>
      <c r="L11" s="3071"/>
      <c r="M11" s="3067">
        <f t="shared" si="0"/>
        <v>0</v>
      </c>
      <c r="N11" s="3068"/>
      <c r="O11" s="3067" t="str">
        <f t="shared" si="3"/>
        <v>——</v>
      </c>
      <c r="P11" s="3069" t="str">
        <f t="shared" si="4"/>
        <v>——</v>
      </c>
      <c r="Q11" s="3096"/>
      <c r="R11" s="3087">
        <f ca="1">SUMIF('数据-汇总表'!C$19:C$33,A11,'数据-汇总表'!R$19:R$27)</f>
        <v>0</v>
      </c>
      <c r="S11" s="3088">
        <f>IF('数据-汇总表'!$I$17="按面积比例",SUMIF('数据-汇总表'!C$19:C$33,A11,'数据-汇总表'!K$19:K$33),SUMIF('数据-汇总表'!C$19:C$33,A11,'数据-汇总表'!N$19:N$33))</f>
        <v>0</v>
      </c>
      <c r="T11" s="3089">
        <f t="shared" si="5"/>
        <v>0</v>
      </c>
      <c r="U11" s="3090"/>
      <c r="V11" s="2977"/>
      <c r="W11" s="2977"/>
      <c r="X11" s="3092"/>
      <c r="Y11" s="3112"/>
      <c r="Z11" s="3116"/>
      <c r="AA11" s="2977"/>
      <c r="AB11" s="2977"/>
      <c r="AC11" s="3092"/>
      <c r="AD11" s="3114"/>
      <c r="AE11" s="3115">
        <f ca="1" t="shared" si="6"/>
        <v>0</v>
      </c>
      <c r="AF11" s="2523"/>
      <c r="AG11" s="2354">
        <f ca="1" t="shared" si="7"/>
        <v>0</v>
      </c>
      <c r="AH11" s="3124"/>
      <c r="AI11" s="3125"/>
      <c r="AJ11" s="3126"/>
      <c r="AK11" s="3135"/>
      <c r="AL11" s="3136"/>
      <c r="AM11" s="3137"/>
      <c r="AN11" s="3130"/>
      <c r="AO11" s="1377" t="e">
        <f ca="1" t="shared" si="8"/>
        <v>#REF!</v>
      </c>
      <c r="AP11" s="3144">
        <f t="shared" si="9"/>
        <v>0</v>
      </c>
      <c r="AQ11" s="1377">
        <f t="shared" si="10"/>
        <v>0</v>
      </c>
      <c r="AR11" s="1377">
        <f t="shared" si="11"/>
        <v>0</v>
      </c>
      <c r="AS11" s="2873"/>
      <c r="AT11" s="2873"/>
      <c r="AU11" s="2873"/>
      <c r="AV11" s="2873"/>
      <c r="AW11" s="2873"/>
      <c r="AX11" s="2873"/>
      <c r="AY11" s="2873"/>
      <c r="AZ11" s="2873"/>
      <c r="BA11" s="2873"/>
      <c r="BB11" s="2873"/>
      <c r="BC11" s="2873"/>
      <c r="BD11" s="2873"/>
      <c r="BE11" s="2873"/>
      <c r="BF11" s="2873"/>
      <c r="BG11" s="2873"/>
      <c r="BH11" s="2873"/>
      <c r="BI11" s="2873"/>
      <c r="BJ11" s="2873"/>
      <c r="BK11" s="2873"/>
      <c r="BL11" s="2873"/>
      <c r="BM11" s="2873"/>
      <c r="BN11" s="2873"/>
      <c r="BO11" s="2873"/>
    </row>
    <row r="12" s="2944" customFormat="1" ht="14.25" spans="1:67">
      <c r="A12" s="2969">
        <f>'数据-汇总表'!C25</f>
        <v>0</v>
      </c>
      <c r="B12" s="2970" t="str">
        <f t="shared" si="1"/>
        <v/>
      </c>
      <c r="C12" s="2971"/>
      <c r="D12" s="2972">
        <f>SUMIF(项目基本情况!C$12:I$12,C12,项目基本情况!C$14:I$14)</f>
        <v>0</v>
      </c>
      <c r="E12" s="2973" t="str">
        <f>IF(B12="","",SUMIF(项目基本情况!C$12:I$12,C12,项目基本情况!C$13:I$13))</f>
        <v/>
      </c>
      <c r="F12" s="2974">
        <f>SUMIF(项目基本情况!C$12:I$12,C12,项目基本情况!C$15:I$15)</f>
        <v>0</v>
      </c>
      <c r="G12" s="2975">
        <f t="shared" si="2"/>
        <v>0</v>
      </c>
      <c r="H12" s="2977"/>
      <c r="I12" s="2977"/>
      <c r="J12" s="2977"/>
      <c r="K12" s="3065">
        <f>SUMIF('数据-汇总表'!C$19:C$33,A12,'数据-汇总表'!E$19:E$33)</f>
        <v>0</v>
      </c>
      <c r="L12" s="3071"/>
      <c r="M12" s="3067">
        <f t="shared" si="0"/>
        <v>0</v>
      </c>
      <c r="N12" s="3068"/>
      <c r="O12" s="3067" t="str">
        <f t="shared" si="3"/>
        <v>——</v>
      </c>
      <c r="P12" s="3069" t="str">
        <f t="shared" si="4"/>
        <v>——</v>
      </c>
      <c r="Q12" s="3096"/>
      <c r="R12" s="3087">
        <f ca="1">SUMIF('数据-汇总表'!C$19:C$33,A12,'数据-汇总表'!R$19:R$27)</f>
        <v>0</v>
      </c>
      <c r="S12" s="3088">
        <f>IF('数据-汇总表'!$I$17="按面积比例",SUMIF('数据-汇总表'!C$19:C$33,A12,'数据-汇总表'!K$19:K$33),SUMIF('数据-汇总表'!C$19:C$33,A12,'数据-汇总表'!N$19:N$33))</f>
        <v>0</v>
      </c>
      <c r="T12" s="3089">
        <f t="shared" si="5"/>
        <v>0</v>
      </c>
      <c r="U12" s="3090"/>
      <c r="V12" s="2977"/>
      <c r="W12" s="2977"/>
      <c r="X12" s="3092"/>
      <c r="Y12" s="3112"/>
      <c r="Z12" s="3116"/>
      <c r="AA12" s="2977"/>
      <c r="AB12" s="2977"/>
      <c r="AC12" s="3092"/>
      <c r="AD12" s="3114"/>
      <c r="AE12" s="3115">
        <f ca="1" t="shared" si="6"/>
        <v>0</v>
      </c>
      <c r="AF12" s="2523"/>
      <c r="AG12" s="2354">
        <f ca="1" t="shared" si="7"/>
        <v>0</v>
      </c>
      <c r="AH12" s="3124"/>
      <c r="AI12" s="3125"/>
      <c r="AJ12" s="3126"/>
      <c r="AK12" s="3135"/>
      <c r="AL12" s="3136"/>
      <c r="AM12" s="3137"/>
      <c r="AN12" s="3130"/>
      <c r="AO12" s="1377" t="e">
        <f ca="1" t="shared" si="8"/>
        <v>#REF!</v>
      </c>
      <c r="AP12" s="3144">
        <f t="shared" si="9"/>
        <v>0</v>
      </c>
      <c r="AQ12" s="1377">
        <f t="shared" si="10"/>
        <v>0</v>
      </c>
      <c r="AR12" s="1377">
        <f t="shared" si="11"/>
        <v>0</v>
      </c>
      <c r="AS12" s="2873"/>
      <c r="AT12" s="2873"/>
      <c r="AU12" s="2873"/>
      <c r="AV12" s="2873"/>
      <c r="AW12" s="2873"/>
      <c r="AX12" s="2873"/>
      <c r="AY12" s="2873"/>
      <c r="AZ12" s="2873"/>
      <c r="BA12" s="2873"/>
      <c r="BB12" s="2873"/>
      <c r="BC12" s="2873"/>
      <c r="BD12" s="2873"/>
      <c r="BE12" s="2873"/>
      <c r="BF12" s="2873"/>
      <c r="BG12" s="2873"/>
      <c r="BH12" s="2873"/>
      <c r="BI12" s="2873"/>
      <c r="BJ12" s="2873"/>
      <c r="BK12" s="2873"/>
      <c r="BL12" s="2873"/>
      <c r="BM12" s="2873"/>
      <c r="BN12" s="2873"/>
      <c r="BO12" s="2873"/>
    </row>
    <row r="13" s="2944" customFormat="1" ht="14.25" spans="1:67">
      <c r="A13" s="2969">
        <f>'数据-汇总表'!C26</f>
        <v>0</v>
      </c>
      <c r="B13" s="2970" t="str">
        <f t="shared" si="1"/>
        <v/>
      </c>
      <c r="C13" s="2971"/>
      <c r="D13" s="2972">
        <f>SUMIF(项目基本情况!C$12:I$12,C13,项目基本情况!C$14:I$14)</f>
        <v>0</v>
      </c>
      <c r="E13" s="2973" t="str">
        <f>IF(B13="","",SUMIF(项目基本情况!C$12:I$12,C13,项目基本情况!C$13:I$13))</f>
        <v/>
      </c>
      <c r="F13" s="2974">
        <f>SUMIF(项目基本情况!C$12:I$12,C13,项目基本情况!C$15:I$15)</f>
        <v>0</v>
      </c>
      <c r="G13" s="2975">
        <f t="shared" si="2"/>
        <v>0</v>
      </c>
      <c r="H13" s="2977"/>
      <c r="I13" s="2977"/>
      <c r="J13" s="2977"/>
      <c r="K13" s="3065">
        <f>SUMIF('数据-汇总表'!C$19:C$33,A13,'数据-汇总表'!E$19:E$33)</f>
        <v>0</v>
      </c>
      <c r="L13" s="3071"/>
      <c r="M13" s="3067">
        <f t="shared" si="0"/>
        <v>0</v>
      </c>
      <c r="N13" s="3072"/>
      <c r="O13" s="3067" t="str">
        <f t="shared" si="3"/>
        <v>——</v>
      </c>
      <c r="P13" s="3069" t="str">
        <f t="shared" si="4"/>
        <v>——</v>
      </c>
      <c r="Q13" s="3096"/>
      <c r="R13" s="3087">
        <f ca="1">SUMIF('数据-汇总表'!C$19:C$33,A13,'数据-汇总表'!R$19:R$27)</f>
        <v>0</v>
      </c>
      <c r="S13" s="3088">
        <f>IF('数据-汇总表'!$I$17="按面积比例",SUMIF('数据-汇总表'!C$19:C$33,A13,'数据-汇总表'!K$19:K$33),SUMIF('数据-汇总表'!C$19:C$33,A13,'数据-汇总表'!N$19:N$33))</f>
        <v>0</v>
      </c>
      <c r="T13" s="3089">
        <f t="shared" si="5"/>
        <v>0</v>
      </c>
      <c r="U13" s="3097"/>
      <c r="V13" s="3091"/>
      <c r="W13" s="3091"/>
      <c r="X13" s="3092"/>
      <c r="Y13" s="3112"/>
      <c r="Z13" s="3113"/>
      <c r="AA13" s="2977"/>
      <c r="AB13" s="2977"/>
      <c r="AC13" s="3092"/>
      <c r="AD13" s="3114"/>
      <c r="AE13" s="3115">
        <f ca="1" t="shared" si="6"/>
        <v>0</v>
      </c>
      <c r="AF13" s="2523"/>
      <c r="AG13" s="2354">
        <f ca="1" t="shared" si="7"/>
        <v>0</v>
      </c>
      <c r="AH13" s="3124"/>
      <c r="AI13" s="3125"/>
      <c r="AJ13" s="3126"/>
      <c r="AK13" s="3127"/>
      <c r="AL13" s="3128"/>
      <c r="AM13" s="3129"/>
      <c r="AN13" s="3130"/>
      <c r="AO13" s="1377" t="e">
        <f ca="1" t="shared" si="8"/>
        <v>#REF!</v>
      </c>
      <c r="AP13" s="3144">
        <f t="shared" si="9"/>
        <v>0</v>
      </c>
      <c r="AQ13" s="1377">
        <f t="shared" si="10"/>
        <v>0</v>
      </c>
      <c r="AR13" s="1377">
        <f t="shared" si="11"/>
        <v>0</v>
      </c>
      <c r="AS13" s="2873"/>
      <c r="AT13" s="2873"/>
      <c r="AU13" s="2873"/>
      <c r="AV13" s="2873"/>
      <c r="AW13" s="2873"/>
      <c r="AX13" s="2873"/>
      <c r="AY13" s="2873"/>
      <c r="AZ13" s="2873"/>
      <c r="BA13" s="2873"/>
      <c r="BB13" s="2873"/>
      <c r="BC13" s="2873"/>
      <c r="BD13" s="2873"/>
      <c r="BE13" s="2873"/>
      <c r="BF13" s="2873"/>
      <c r="BG13" s="2873"/>
      <c r="BH13" s="2873"/>
      <c r="BI13" s="2873"/>
      <c r="BJ13" s="2873"/>
      <c r="BK13" s="2873"/>
      <c r="BL13" s="2873"/>
      <c r="BM13" s="2873"/>
      <c r="BN13" s="2873"/>
      <c r="BO13" s="2873"/>
    </row>
    <row r="14" s="2944" customFormat="1" ht="14.25" spans="1:67">
      <c r="A14" s="2978" t="s">
        <v>602</v>
      </c>
      <c r="B14" s="2970" t="s">
        <v>601</v>
      </c>
      <c r="C14" s="2979" t="s">
        <v>602</v>
      </c>
      <c r="D14" s="2972"/>
      <c r="E14" s="2973"/>
      <c r="F14" s="2974"/>
      <c r="G14" s="2975"/>
      <c r="H14" s="2980"/>
      <c r="I14" s="2980"/>
      <c r="J14" s="2980"/>
      <c r="K14" s="3065">
        <f>SUMIF('数据-汇总表'!C$19:C$33,A14,'数据-汇总表'!E$19:E$33)</f>
        <v>0</v>
      </c>
      <c r="L14" s="3071"/>
      <c r="M14" s="3067">
        <f t="shared" si="0"/>
        <v>0</v>
      </c>
      <c r="N14" s="3072"/>
      <c r="O14" s="3067" t="str">
        <f t="shared" si="3"/>
        <v>——</v>
      </c>
      <c r="P14" s="3069" t="str">
        <f t="shared" si="4"/>
        <v>——</v>
      </c>
      <c r="Q14" s="3098"/>
      <c r="R14" s="3087"/>
      <c r="S14" s="3088"/>
      <c r="T14" s="3089"/>
      <c r="U14" s="3099"/>
      <c r="V14" s="3100"/>
      <c r="W14" s="3100"/>
      <c r="X14" s="3101"/>
      <c r="Y14" s="3117"/>
      <c r="Z14" s="3118"/>
      <c r="AA14" s="3119"/>
      <c r="AB14" s="3119"/>
      <c r="AC14" s="3092"/>
      <c r="AD14" s="3101"/>
      <c r="AE14" s="3115"/>
      <c r="AF14" s="1377"/>
      <c r="AG14" s="2354"/>
      <c r="AH14" s="3115"/>
      <c r="AI14" s="1360"/>
      <c r="AJ14" s="1376"/>
      <c r="AK14" s="3138"/>
      <c r="AL14" s="3139"/>
      <c r="AM14" s="3140"/>
      <c r="AN14" s="2406"/>
      <c r="AO14" s="2990"/>
      <c r="AP14" s="2990"/>
      <c r="AQ14" s="2990"/>
      <c r="AR14" s="2990"/>
      <c r="AS14" s="2873"/>
      <c r="AT14" s="2873"/>
      <c r="AU14" s="2873"/>
      <c r="AV14" s="2873"/>
      <c r="AW14" s="2873"/>
      <c r="AX14" s="2873"/>
      <c r="AY14" s="2873"/>
      <c r="AZ14" s="2873"/>
      <c r="BA14" s="2873"/>
      <c r="BB14" s="2873"/>
      <c r="BC14" s="2873"/>
      <c r="BD14" s="2873"/>
      <c r="BE14" s="2873"/>
      <c r="BF14" s="2873"/>
      <c r="BG14" s="2873"/>
      <c r="BH14" s="2873"/>
      <c r="BI14" s="2873"/>
      <c r="BJ14" s="2873"/>
      <c r="BK14" s="2873"/>
      <c r="BL14" s="2873"/>
      <c r="BM14" s="2873"/>
      <c r="BN14" s="2873"/>
      <c r="BO14" s="2873"/>
    </row>
    <row r="15" s="2944" customFormat="1" ht="27" spans="1:67">
      <c r="A15" s="2978" t="s">
        <v>603</v>
      </c>
      <c r="B15" s="2970" t="s">
        <v>601</v>
      </c>
      <c r="C15" s="2979" t="s">
        <v>649</v>
      </c>
      <c r="D15" s="2972"/>
      <c r="E15" s="2973"/>
      <c r="F15" s="2974"/>
      <c r="G15" s="2975"/>
      <c r="H15" s="2980"/>
      <c r="I15" s="2980"/>
      <c r="J15" s="2980"/>
      <c r="K15" s="3065">
        <f>SUMIF('数据-汇总表'!C$19:C$33,A15,'数据-汇总表'!E$19:E$33)</f>
        <v>0</v>
      </c>
      <c r="L15" s="3073"/>
      <c r="M15" s="3067"/>
      <c r="N15" s="3074"/>
      <c r="O15" s="3067"/>
      <c r="P15" s="3069"/>
      <c r="Q15" s="3098"/>
      <c r="R15" s="3087"/>
      <c r="S15" s="3088"/>
      <c r="T15" s="3089"/>
      <c r="U15" s="3099"/>
      <c r="V15" s="3100"/>
      <c r="W15" s="3100"/>
      <c r="X15" s="3101"/>
      <c r="Y15" s="3117"/>
      <c r="Z15" s="3118"/>
      <c r="AA15" s="3119"/>
      <c r="AB15" s="3119"/>
      <c r="AC15" s="3092"/>
      <c r="AD15" s="3101"/>
      <c r="AE15" s="3115"/>
      <c r="AF15" s="1377"/>
      <c r="AG15" s="2354"/>
      <c r="AH15" s="3115"/>
      <c r="AI15" s="1360"/>
      <c r="AJ15" s="1376"/>
      <c r="AK15" s="3138"/>
      <c r="AL15" s="3139"/>
      <c r="AM15" s="3140"/>
      <c r="AN15" s="2406"/>
      <c r="AO15" s="2990"/>
      <c r="AP15" s="2990"/>
      <c r="AQ15" s="2990"/>
      <c r="AR15" s="2990"/>
      <c r="AS15" s="2873"/>
      <c r="AT15" s="2873"/>
      <c r="AU15" s="2873"/>
      <c r="AV15" s="2873"/>
      <c r="AW15" s="2873"/>
      <c r="AX15" s="2873"/>
      <c r="AY15" s="2873"/>
      <c r="AZ15" s="2873"/>
      <c r="BA15" s="2873"/>
      <c r="BB15" s="2873"/>
      <c r="BC15" s="2873"/>
      <c r="BD15" s="2873"/>
      <c r="BE15" s="2873"/>
      <c r="BF15" s="2873"/>
      <c r="BG15" s="2873"/>
      <c r="BH15" s="2873"/>
      <c r="BI15" s="2873"/>
      <c r="BJ15" s="2873"/>
      <c r="BK15" s="2873"/>
      <c r="BL15" s="2873"/>
      <c r="BM15" s="2873"/>
      <c r="BN15" s="2873"/>
      <c r="BO15" s="2873"/>
    </row>
    <row r="16" s="2944" customFormat="1" ht="15.75" spans="1:67">
      <c r="A16" s="2981" t="s">
        <v>604</v>
      </c>
      <c r="B16" s="2982"/>
      <c r="C16" s="2463"/>
      <c r="D16" s="2983"/>
      <c r="E16" s="2982"/>
      <c r="F16" s="2982"/>
      <c r="G16" s="2984">
        <f>ROUND(SUMPRODUCT(G6:G13,K6:K13)/SUMPRODUCT((G6:G13&gt;0)*(K6:K13)),3)</f>
        <v>0.897</v>
      </c>
      <c r="H16" s="2985">
        <f>ROUND(SUMPRODUCT(H6:H13,K6:K13)/SUMPRODUCT((H6:H13&gt;0)*(K6:K13)),3)</f>
        <v>0.04</v>
      </c>
      <c r="I16" s="3075"/>
      <c r="J16" s="3075"/>
      <c r="K16" s="3076">
        <f>SUM(K6:K15)</f>
        <v>211.57</v>
      </c>
      <c r="L16" s="3077">
        <f>ROUND(M16*10000/SUM(K6:K14),0)</f>
        <v>4490</v>
      </c>
      <c r="M16" s="3077">
        <f>SUM(M6:M14)</f>
        <v>95</v>
      </c>
      <c r="N16" s="3078">
        <f>ROUND(SUMPRODUCT(M6:M14,N6:N14)/M16,3)</f>
        <v>0.72</v>
      </c>
      <c r="O16" s="3077">
        <f>SUM(O6:O14)</f>
        <v>0</v>
      </c>
      <c r="P16" s="3077">
        <f>SUM(P6:P14)</f>
        <v>0</v>
      </c>
      <c r="Q16" s="3102">
        <f>ROUND(SUMPRODUCT(Q6:Q13,K6:K13)/SUMPRODUCT((Q6:Q13&gt;0)*(K6:K13)),2)</f>
        <v>0.2</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406"/>
      <c r="AO16" s="2990"/>
      <c r="AP16" s="2990"/>
      <c r="AQ16" s="2990"/>
      <c r="AR16" s="2990"/>
      <c r="AS16" s="2873"/>
      <c r="AT16" s="2873"/>
      <c r="AU16" s="2873"/>
      <c r="AV16" s="2873"/>
      <c r="AW16" s="2873"/>
      <c r="AX16" s="2873"/>
      <c r="AY16" s="2873"/>
      <c r="AZ16" s="2873"/>
      <c r="BA16" s="2873"/>
      <c r="BB16" s="2873"/>
      <c r="BC16" s="2873"/>
      <c r="BD16" s="2873"/>
      <c r="BE16" s="2873"/>
      <c r="BF16" s="2873"/>
      <c r="BG16" s="2873"/>
      <c r="BH16" s="2873"/>
      <c r="BI16" s="2873"/>
      <c r="BJ16" s="2873"/>
      <c r="BK16" s="2873"/>
      <c r="BL16" s="2873"/>
      <c r="BM16" s="2873"/>
      <c r="BN16" s="2873"/>
      <c r="BO16" s="2873"/>
    </row>
    <row r="17" ht="13.5" spans="1:44">
      <c r="A17" s="2986"/>
      <c r="B17" s="2987"/>
      <c r="C17" s="2406"/>
      <c r="D17" s="2988"/>
      <c r="E17" s="2988"/>
      <c r="F17" s="2406"/>
      <c r="G17" s="2406"/>
      <c r="H17" s="2406"/>
      <c r="I17" s="2406"/>
      <c r="J17" s="2406"/>
      <c r="K17" s="3079"/>
      <c r="L17" s="3079"/>
      <c r="M17" s="2406"/>
      <c r="N17" s="2406"/>
      <c r="O17" s="2406"/>
      <c r="P17" s="2406"/>
      <c r="Q17" s="2406"/>
      <c r="R17" s="2406"/>
      <c r="S17" s="2406"/>
      <c r="T17" s="2406"/>
      <c r="U17" s="2406"/>
      <c r="V17" s="2406"/>
      <c r="W17" s="2406"/>
      <c r="X17" s="2406"/>
      <c r="Y17" s="2406"/>
      <c r="Z17" s="2406"/>
      <c r="AA17" s="2406"/>
      <c r="AB17" s="2406"/>
      <c r="AC17" s="2406"/>
      <c r="AD17" s="2406"/>
      <c r="AE17" s="2406"/>
      <c r="AF17" s="2406"/>
      <c r="AG17" s="2406"/>
      <c r="AH17" s="2406"/>
      <c r="AI17" s="2406"/>
      <c r="AJ17" s="2406"/>
      <c r="AK17" s="2406"/>
      <c r="AL17" s="2406"/>
      <c r="AM17" s="2406"/>
      <c r="AN17" s="2406"/>
      <c r="AO17" s="2406"/>
      <c r="AP17" s="2406"/>
      <c r="AQ17" s="2406"/>
      <c r="AR17" s="2406"/>
    </row>
    <row r="18" ht="15" spans="1:44">
      <c r="A18" s="1617" t="s">
        <v>650</v>
      </c>
      <c r="B18" s="2989"/>
      <c r="C18" s="2990"/>
      <c r="D18" s="2991"/>
      <c r="E18" s="2990"/>
      <c r="F18" s="2990"/>
      <c r="G18" s="2990"/>
      <c r="H18" s="2990"/>
      <c r="I18" s="2990"/>
      <c r="J18" s="2990"/>
      <c r="K18" s="3079"/>
      <c r="L18" s="3079"/>
      <c r="M18" s="2406"/>
      <c r="N18" s="2406"/>
      <c r="O18" s="2406"/>
      <c r="P18" s="2406"/>
      <c r="Q18" s="2406"/>
      <c r="R18" s="2406"/>
      <c r="S18" s="2406"/>
      <c r="T18" s="2406"/>
      <c r="U18" s="2406"/>
      <c r="V18" s="2406"/>
      <c r="W18" s="2406"/>
      <c r="X18" s="2406"/>
      <c r="Y18" s="2406"/>
      <c r="Z18" s="2406"/>
      <c r="AA18" s="2406"/>
      <c r="AB18" s="2406"/>
      <c r="AC18" s="2406"/>
      <c r="AD18" s="2406"/>
      <c r="AE18" s="2406"/>
      <c r="AF18" s="2406"/>
      <c r="AG18" s="2406"/>
      <c r="AH18" s="2406"/>
      <c r="AI18" s="2406"/>
      <c r="AJ18" s="2406"/>
      <c r="AK18" s="2406"/>
      <c r="AL18" s="2406"/>
      <c r="AM18" s="2406"/>
      <c r="AN18" s="2406"/>
      <c r="AO18" s="2406"/>
      <c r="AP18" s="2406"/>
      <c r="AQ18" s="2406"/>
      <c r="AR18" s="2406"/>
    </row>
    <row r="19" ht="14.25" spans="1:44">
      <c r="A19" s="2992" t="s">
        <v>651</v>
      </c>
      <c r="B19" s="2993">
        <v>0</v>
      </c>
      <c r="C19" s="2994" t="s">
        <v>652</v>
      </c>
      <c r="D19" s="2991"/>
      <c r="E19" s="2990"/>
      <c r="F19" s="2990"/>
      <c r="G19" s="2990"/>
      <c r="H19" s="2990"/>
      <c r="I19" s="2990"/>
      <c r="J19" s="2990"/>
      <c r="K19" s="3079"/>
      <c r="L19" s="3079"/>
      <c r="M19" s="2406"/>
      <c r="N19" s="2406">
        <v>2006</v>
      </c>
      <c r="O19" s="2406">
        <v>2004</v>
      </c>
      <c r="P19" s="2406"/>
      <c r="Q19" s="2406"/>
      <c r="R19" s="2406"/>
      <c r="S19" s="2406"/>
      <c r="T19" s="2406"/>
      <c r="U19" s="2406"/>
      <c r="V19" s="2406"/>
      <c r="W19" s="2406"/>
      <c r="X19" s="2406"/>
      <c r="Y19" s="2406"/>
      <c r="Z19" s="2406"/>
      <c r="AA19" s="2406"/>
      <c r="AB19" s="2406"/>
      <c r="AC19" s="2406"/>
      <c r="AD19" s="2406"/>
      <c r="AE19" s="2406"/>
      <c r="AF19" s="2406"/>
      <c r="AG19" s="2406"/>
      <c r="AH19" s="2406"/>
      <c r="AI19" s="2406"/>
      <c r="AJ19" s="2406"/>
      <c r="AK19" s="2406"/>
      <c r="AL19" s="2406"/>
      <c r="AM19" s="2406"/>
      <c r="AN19" s="2406"/>
      <c r="AO19" s="2406"/>
      <c r="AP19" s="2406"/>
      <c r="AQ19" s="2406"/>
      <c r="AR19" s="2406"/>
    </row>
    <row r="20" ht="14.25" spans="1:44">
      <c r="A20" s="2995" t="s">
        <v>653</v>
      </c>
      <c r="B20" s="2996">
        <v>2</v>
      </c>
      <c r="C20" s="2997" t="s">
        <v>654</v>
      </c>
      <c r="D20" s="2991"/>
      <c r="E20" s="2990"/>
      <c r="F20" s="2990"/>
      <c r="G20" s="2990"/>
      <c r="H20" s="2990"/>
      <c r="I20" s="2990"/>
      <c r="J20" s="2990"/>
      <c r="K20" s="3079"/>
      <c r="L20" s="3079"/>
      <c r="M20" s="2406"/>
      <c r="N20" s="2406">
        <v>2023</v>
      </c>
      <c r="O20" s="2406">
        <v>2023</v>
      </c>
      <c r="P20" s="2406"/>
      <c r="Q20" s="2406"/>
      <c r="R20" s="2406"/>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row>
    <row r="21" ht="14.25" spans="1:44">
      <c r="A21" s="2998" t="s">
        <v>655</v>
      </c>
      <c r="B21" s="2996">
        <v>2</v>
      </c>
      <c r="C21" s="2990"/>
      <c r="D21" s="2991"/>
      <c r="E21" s="2990"/>
      <c r="F21" s="2990"/>
      <c r="G21" s="2990"/>
      <c r="H21" s="2990"/>
      <c r="I21" s="2990"/>
      <c r="J21" s="2990"/>
      <c r="K21" s="3079"/>
      <c r="L21" s="3079"/>
      <c r="M21" s="2406"/>
      <c r="N21" s="2406">
        <f>N20-N19</f>
        <v>17</v>
      </c>
      <c r="O21" s="2406">
        <f>O20-O19</f>
        <v>19</v>
      </c>
      <c r="P21" s="2406"/>
      <c r="Q21" s="2406"/>
      <c r="R21" s="2406"/>
      <c r="S21" s="2406"/>
      <c r="T21" s="2406"/>
      <c r="U21" s="2406"/>
      <c r="V21" s="2406"/>
      <c r="W21" s="2406"/>
      <c r="X21" s="2406"/>
      <c r="Y21" s="2406"/>
      <c r="Z21" s="2406"/>
      <c r="AA21" s="2406"/>
      <c r="AB21" s="2406"/>
      <c r="AC21" s="2406"/>
      <c r="AD21" s="2406"/>
      <c r="AE21" s="2406"/>
      <c r="AF21" s="2406"/>
      <c r="AG21" s="2406"/>
      <c r="AH21" s="2406"/>
      <c r="AI21" s="2406"/>
      <c r="AJ21" s="2406"/>
      <c r="AK21" s="2406"/>
      <c r="AL21" s="2406"/>
      <c r="AM21" s="2406"/>
      <c r="AN21" s="2406"/>
      <c r="AO21" s="2406"/>
      <c r="AP21" s="2406"/>
      <c r="AQ21" s="2406"/>
      <c r="AR21" s="2406"/>
    </row>
    <row r="22" ht="14.25" spans="1:44">
      <c r="A22" s="2995" t="s">
        <v>656</v>
      </c>
      <c r="B22" s="2999">
        <f>B19+B20</f>
        <v>2</v>
      </c>
      <c r="C22" s="2990"/>
      <c r="D22" s="2991"/>
      <c r="E22" s="2990"/>
      <c r="F22" s="2990"/>
      <c r="G22" s="2990"/>
      <c r="H22" s="2990"/>
      <c r="I22" s="2990"/>
      <c r="J22" s="2990"/>
      <c r="K22" s="3079"/>
      <c r="L22" s="3079"/>
      <c r="M22" s="2406"/>
      <c r="N22" s="2406">
        <v>60</v>
      </c>
      <c r="O22" s="2406">
        <v>70</v>
      </c>
      <c r="P22" s="2406"/>
      <c r="Q22" s="2406"/>
      <c r="R22" s="2406"/>
      <c r="S22" s="2406"/>
      <c r="T22" s="2406"/>
      <c r="U22" s="2406"/>
      <c r="V22" s="2406"/>
      <c r="W22" s="2406"/>
      <c r="X22" s="2406"/>
      <c r="Y22" s="2406"/>
      <c r="Z22" s="2406"/>
      <c r="AA22" s="2406"/>
      <c r="AB22" s="2406"/>
      <c r="AC22" s="2406"/>
      <c r="AD22" s="2406"/>
      <c r="AE22" s="2406"/>
      <c r="AF22" s="2406"/>
      <c r="AG22" s="2406"/>
      <c r="AH22" s="2406"/>
      <c r="AI22" s="2406"/>
      <c r="AJ22" s="2406"/>
      <c r="AK22" s="2406"/>
      <c r="AL22" s="2406"/>
      <c r="AM22" s="2406"/>
      <c r="AN22" s="2406"/>
      <c r="AO22" s="2406"/>
      <c r="AP22" s="2406"/>
      <c r="AQ22" s="2406"/>
      <c r="AR22" s="2406"/>
    </row>
    <row r="23" ht="14.25" spans="1:44">
      <c r="A23" s="2998" t="s">
        <v>657</v>
      </c>
      <c r="B23" s="2999">
        <f>B19+B21</f>
        <v>2</v>
      </c>
      <c r="C23" s="2990"/>
      <c r="D23" s="2991"/>
      <c r="E23" s="2990"/>
      <c r="F23" s="2990"/>
      <c r="G23" s="2990"/>
      <c r="H23" s="2990"/>
      <c r="I23" s="2990"/>
      <c r="J23" s="2990"/>
      <c r="K23" s="3079"/>
      <c r="L23" s="3079"/>
      <c r="M23" s="2406"/>
      <c r="N23" s="2406">
        <f>N22-N21</f>
        <v>43</v>
      </c>
      <c r="O23" s="2406">
        <f>O22-O21</f>
        <v>51</v>
      </c>
      <c r="P23" s="2406"/>
      <c r="Q23" s="2406"/>
      <c r="R23" s="2406"/>
      <c r="S23" s="2406"/>
      <c r="T23" s="2406"/>
      <c r="U23" s="2406"/>
      <c r="V23" s="2406"/>
      <c r="W23" s="2406"/>
      <c r="X23" s="2406"/>
      <c r="Y23" s="2406"/>
      <c r="Z23" s="2406"/>
      <c r="AA23" s="2406"/>
      <c r="AB23" s="2406"/>
      <c r="AC23" s="2406"/>
      <c r="AD23" s="2406"/>
      <c r="AE23" s="2406"/>
      <c r="AF23" s="2406"/>
      <c r="AG23" s="2406"/>
      <c r="AH23" s="2406"/>
      <c r="AI23" s="2406"/>
      <c r="AJ23" s="2406"/>
      <c r="AK23" s="2406"/>
      <c r="AL23" s="2406"/>
      <c r="AM23" s="2406"/>
      <c r="AN23" s="2406"/>
      <c r="AO23" s="2406"/>
      <c r="AP23" s="2406"/>
      <c r="AQ23" s="2406"/>
      <c r="AR23" s="2406"/>
    </row>
    <row r="24" ht="15" spans="1:44">
      <c r="A24" s="3000" t="s">
        <v>658</v>
      </c>
      <c r="B24" s="3001">
        <f>B20-B21</f>
        <v>0</v>
      </c>
      <c r="C24" s="2990"/>
      <c r="D24" s="2991"/>
      <c r="E24" s="2990"/>
      <c r="F24" s="2990"/>
      <c r="G24" s="2990"/>
      <c r="H24" s="2990"/>
      <c r="I24" s="2990"/>
      <c r="J24" s="2990"/>
      <c r="K24" s="3079"/>
      <c r="L24" s="3079"/>
      <c r="M24" s="2406"/>
      <c r="N24" s="2406">
        <f>N23/N22</f>
        <v>0.716666666666667</v>
      </c>
      <c r="O24" s="2406"/>
      <c r="P24" s="2406"/>
      <c r="Q24" s="2406"/>
      <c r="R24" s="2406"/>
      <c r="S24" s="2406"/>
      <c r="T24" s="2406"/>
      <c r="U24" s="2406"/>
      <c r="V24" s="2406"/>
      <c r="W24" s="2406"/>
      <c r="X24" s="2406"/>
      <c r="Y24" s="2406"/>
      <c r="Z24" s="2406"/>
      <c r="AA24" s="2406"/>
      <c r="AB24" s="2406"/>
      <c r="AC24" s="2406"/>
      <c r="AD24" s="2406"/>
      <c r="AE24" s="2406"/>
      <c r="AF24" s="2406"/>
      <c r="AG24" s="2406"/>
      <c r="AH24" s="2406"/>
      <c r="AI24" s="2406"/>
      <c r="AJ24" s="2406"/>
      <c r="AK24" s="2406"/>
      <c r="AL24" s="2406"/>
      <c r="AM24" s="2406"/>
      <c r="AN24" s="2406"/>
      <c r="AO24" s="2406"/>
      <c r="AP24" s="2406"/>
      <c r="AQ24" s="2406"/>
      <c r="AR24" s="2406"/>
    </row>
    <row r="25" ht="15" spans="1:44">
      <c r="A25" s="2959"/>
      <c r="B25" s="2960"/>
      <c r="C25" s="2990"/>
      <c r="D25" s="2991"/>
      <c r="E25" s="2990"/>
      <c r="F25" s="2990"/>
      <c r="G25" s="2990"/>
      <c r="H25" s="2990"/>
      <c r="I25" s="2990"/>
      <c r="J25" s="2990"/>
      <c r="K25" s="3079"/>
      <c r="L25" s="3079"/>
      <c r="M25" s="2406"/>
      <c r="N25" s="2406"/>
      <c r="O25" s="2406"/>
      <c r="P25" s="2406"/>
      <c r="Q25" s="2406"/>
      <c r="R25" s="2406"/>
      <c r="S25" s="2406"/>
      <c r="T25" s="2406"/>
      <c r="U25" s="2406"/>
      <c r="V25" s="2406"/>
      <c r="W25" s="2406"/>
      <c r="X25" s="2406"/>
      <c r="Y25" s="2406"/>
      <c r="Z25" s="2406"/>
      <c r="AA25" s="2406"/>
      <c r="AB25" s="2406"/>
      <c r="AC25" s="2406"/>
      <c r="AD25" s="2406"/>
      <c r="AE25" s="2406"/>
      <c r="AF25" s="2406"/>
      <c r="AG25" s="2406"/>
      <c r="AH25" s="2406"/>
      <c r="AI25" s="2406"/>
      <c r="AJ25" s="2406"/>
      <c r="AK25" s="2406"/>
      <c r="AL25" s="2406"/>
      <c r="AM25" s="2406"/>
      <c r="AN25" s="2406"/>
      <c r="AO25" s="2406"/>
      <c r="AP25" s="2406"/>
      <c r="AQ25" s="2406"/>
      <c r="AR25" s="2406"/>
    </row>
    <row r="26" ht="15" spans="1:44">
      <c r="A26" s="2955" t="s">
        <v>659</v>
      </c>
      <c r="B26" s="3002" t="s">
        <v>660</v>
      </c>
      <c r="C26" s="3003" t="s">
        <v>661</v>
      </c>
      <c r="D26" s="2991"/>
      <c r="E26" s="2990"/>
      <c r="F26" s="2990"/>
      <c r="G26" s="2990"/>
      <c r="H26" s="2990"/>
      <c r="I26" s="2990"/>
      <c r="J26" s="2990"/>
      <c r="K26" s="3079"/>
      <c r="L26" s="3079"/>
      <c r="M26" s="2406"/>
      <c r="N26" s="2406"/>
      <c r="O26" s="2406"/>
      <c r="P26" s="2406"/>
      <c r="Q26" s="2406"/>
      <c r="R26" s="2406"/>
      <c r="S26" s="2406"/>
      <c r="T26" s="2406"/>
      <c r="U26" s="2406"/>
      <c r="V26" s="2406"/>
      <c r="W26" s="2406"/>
      <c r="X26" s="2406"/>
      <c r="Y26" s="2406"/>
      <c r="Z26" s="2406"/>
      <c r="AA26" s="2406"/>
      <c r="AB26" s="2406"/>
      <c r="AC26" s="2406"/>
      <c r="AD26" s="2406"/>
      <c r="AE26" s="2406"/>
      <c r="AF26" s="2406"/>
      <c r="AG26" s="2406"/>
      <c r="AH26" s="2406"/>
      <c r="AI26" s="2406"/>
      <c r="AJ26" s="2406"/>
      <c r="AK26" s="2406"/>
      <c r="AL26" s="2406"/>
      <c r="AM26" s="2406"/>
      <c r="AN26" s="2406"/>
      <c r="AO26" s="2406"/>
      <c r="AP26" s="2406"/>
      <c r="AQ26" s="2406"/>
      <c r="AR26" s="2406"/>
    </row>
    <row r="27" s="2946" customFormat="1" ht="27.75" spans="1:67">
      <c r="A27" s="3004" t="s">
        <v>662</v>
      </c>
      <c r="B27" s="3005">
        <v>160</v>
      </c>
      <c r="C27" s="3006" t="s">
        <v>663</v>
      </c>
      <c r="D27" s="3007"/>
      <c r="E27" s="1492"/>
      <c r="F27" s="1492"/>
      <c r="G27" s="2990"/>
      <c r="H27" s="2990"/>
      <c r="I27" s="2990"/>
      <c r="J27" s="2990"/>
      <c r="K27" s="3079"/>
      <c r="L27" s="3079"/>
      <c r="M27" s="2406"/>
      <c r="N27" s="2406"/>
      <c r="O27" s="2406"/>
      <c r="P27" s="2406"/>
      <c r="Q27" s="2406"/>
      <c r="R27" s="2406"/>
      <c r="S27" s="2406"/>
      <c r="T27" s="2406"/>
      <c r="U27" s="2406"/>
      <c r="V27" s="2406"/>
      <c r="W27" s="2406"/>
      <c r="X27" s="2406"/>
      <c r="Y27" s="2406"/>
      <c r="Z27" s="2406"/>
      <c r="AA27" s="2406"/>
      <c r="AB27" s="2406"/>
      <c r="AC27" s="2406"/>
      <c r="AD27" s="2406"/>
      <c r="AE27" s="2406"/>
      <c r="AF27" s="2406"/>
      <c r="AG27" s="2406"/>
      <c r="AH27" s="2406"/>
      <c r="AI27" s="2406"/>
      <c r="AJ27" s="2406"/>
      <c r="AK27" s="2406"/>
      <c r="AL27" s="2406"/>
      <c r="AM27" s="2406"/>
      <c r="AN27" s="2406"/>
      <c r="AO27" s="2406"/>
      <c r="AP27" s="2406"/>
      <c r="AQ27" s="2406"/>
      <c r="AR27" s="2406"/>
      <c r="AS27" s="2394"/>
      <c r="AT27" s="2394"/>
      <c r="AU27" s="2394"/>
      <c r="AV27" s="2394"/>
      <c r="AW27" s="2394"/>
      <c r="AX27" s="2394"/>
      <c r="AY27" s="2394"/>
      <c r="AZ27" s="2394"/>
      <c r="BA27" s="2394"/>
      <c r="BB27" s="2394"/>
      <c r="BC27" s="2394"/>
      <c r="BD27" s="2394"/>
      <c r="BE27" s="2394"/>
      <c r="BF27" s="2394"/>
      <c r="BG27" s="2394"/>
      <c r="BH27" s="2394"/>
      <c r="BI27" s="2394"/>
      <c r="BJ27" s="2394"/>
      <c r="BK27" s="2394"/>
      <c r="BL27" s="2394"/>
      <c r="BM27" s="2394"/>
      <c r="BN27" s="2394"/>
      <c r="BO27" s="2394"/>
    </row>
    <row r="28" s="2946" customFormat="1" ht="27.75" spans="1:67">
      <c r="A28" s="3008" t="s">
        <v>664</v>
      </c>
      <c r="B28" s="3009">
        <v>200</v>
      </c>
      <c r="C28" s="3010"/>
      <c r="D28" s="3007"/>
      <c r="E28" s="1492"/>
      <c r="F28" s="1492"/>
      <c r="G28" s="2990"/>
      <c r="H28" s="2990"/>
      <c r="I28" s="2990"/>
      <c r="J28" s="2990"/>
      <c r="K28" s="3079"/>
      <c r="L28" s="3079"/>
      <c r="M28" s="2406"/>
      <c r="N28" s="2406"/>
      <c r="O28" s="2406"/>
      <c r="P28" s="2406"/>
      <c r="Q28" s="2406"/>
      <c r="R28" s="2406"/>
      <c r="S28" s="2406"/>
      <c r="T28" s="2406"/>
      <c r="U28" s="2406"/>
      <c r="V28" s="2406"/>
      <c r="W28" s="2406"/>
      <c r="X28" s="2406"/>
      <c r="Y28" s="2406"/>
      <c r="Z28" s="2406"/>
      <c r="AA28" s="2406"/>
      <c r="AB28" s="2406"/>
      <c r="AC28" s="2406"/>
      <c r="AD28" s="2406"/>
      <c r="AE28" s="2406"/>
      <c r="AF28" s="2406"/>
      <c r="AG28" s="2406"/>
      <c r="AH28" s="2406"/>
      <c r="AI28" s="2406"/>
      <c r="AJ28" s="2406"/>
      <c r="AK28" s="2406"/>
      <c r="AL28" s="2406"/>
      <c r="AM28" s="2406"/>
      <c r="AN28" s="2406"/>
      <c r="AO28" s="2406"/>
      <c r="AP28" s="2406"/>
      <c r="AQ28" s="2406"/>
      <c r="AR28" s="2406"/>
      <c r="AS28" s="2394"/>
      <c r="AT28" s="2394"/>
      <c r="AU28" s="2394"/>
      <c r="AV28" s="2394"/>
      <c r="AW28" s="2394"/>
      <c r="AX28" s="2394"/>
      <c r="AY28" s="2394"/>
      <c r="AZ28" s="2394"/>
      <c r="BA28" s="2394"/>
      <c r="BB28" s="2394"/>
      <c r="BC28" s="2394"/>
      <c r="BD28" s="2394"/>
      <c r="BE28" s="2394"/>
      <c r="BF28" s="2394"/>
      <c r="BG28" s="2394"/>
      <c r="BH28" s="2394"/>
      <c r="BI28" s="2394"/>
      <c r="BJ28" s="2394"/>
      <c r="BK28" s="2394"/>
      <c r="BL28" s="2394"/>
      <c r="BM28" s="2394"/>
      <c r="BN28" s="2394"/>
      <c r="BO28" s="2394"/>
    </row>
    <row r="29" s="2946" customFormat="1" ht="28.5" spans="1:67">
      <c r="A29" s="3011" t="s">
        <v>665</v>
      </c>
      <c r="B29" s="3012">
        <v>0</v>
      </c>
      <c r="C29" s="3013" t="s">
        <v>666</v>
      </c>
      <c r="D29" s="3007"/>
      <c r="E29" s="1492"/>
      <c r="F29" s="1492"/>
      <c r="G29" s="2990"/>
      <c r="H29" s="2990"/>
      <c r="I29" s="2990"/>
      <c r="J29" s="2990"/>
      <c r="K29" s="3079"/>
      <c r="L29" s="3079"/>
      <c r="M29" s="2406"/>
      <c r="N29" s="2406"/>
      <c r="O29" s="2406"/>
      <c r="P29" s="2406"/>
      <c r="Q29" s="2406"/>
      <c r="R29" s="2406"/>
      <c r="S29" s="2406"/>
      <c r="T29" s="2406"/>
      <c r="U29" s="2406"/>
      <c r="V29" s="2406"/>
      <c r="W29" s="2406"/>
      <c r="X29" s="2406"/>
      <c r="Y29" s="2406"/>
      <c r="Z29" s="2406"/>
      <c r="AA29" s="2406"/>
      <c r="AB29" s="2406"/>
      <c r="AC29" s="2406"/>
      <c r="AD29" s="2406"/>
      <c r="AE29" s="2406"/>
      <c r="AF29" s="2406"/>
      <c r="AG29" s="2406"/>
      <c r="AH29" s="2406"/>
      <c r="AI29" s="2406"/>
      <c r="AJ29" s="2406"/>
      <c r="AK29" s="2406"/>
      <c r="AL29" s="2406"/>
      <c r="AM29" s="2406"/>
      <c r="AN29" s="2406"/>
      <c r="AO29" s="2406"/>
      <c r="AP29" s="2406"/>
      <c r="AQ29" s="2406"/>
      <c r="AR29" s="2406"/>
      <c r="AS29" s="2394"/>
      <c r="AT29" s="2394"/>
      <c r="AU29" s="2394"/>
      <c r="AV29" s="2394"/>
      <c r="AW29" s="2394"/>
      <c r="AX29" s="2394"/>
      <c r="AY29" s="2394"/>
      <c r="AZ29" s="2394"/>
      <c r="BA29" s="2394"/>
      <c r="BB29" s="2394"/>
      <c r="BC29" s="2394"/>
      <c r="BD29" s="2394"/>
      <c r="BE29" s="2394"/>
      <c r="BF29" s="2394"/>
      <c r="BG29" s="2394"/>
      <c r="BH29" s="2394"/>
      <c r="BI29" s="2394"/>
      <c r="BJ29" s="2394"/>
      <c r="BK29" s="2394"/>
      <c r="BL29" s="2394"/>
      <c r="BM29" s="2394"/>
      <c r="BN29" s="2394"/>
      <c r="BO29" s="2394"/>
    </row>
    <row r="30" s="2946" customFormat="1" ht="27" spans="1:67">
      <c r="A30" s="3014" t="s">
        <v>667</v>
      </c>
      <c r="B30" s="3015">
        <v>300</v>
      </c>
      <c r="C30" s="3010"/>
      <c r="D30" s="3007"/>
      <c r="E30" s="1492"/>
      <c r="F30" s="1492"/>
      <c r="G30" s="2990"/>
      <c r="H30" s="2990"/>
      <c r="I30" s="2990"/>
      <c r="J30" s="2990"/>
      <c r="K30" s="3079"/>
      <c r="L30" s="3079"/>
      <c r="M30" s="2406"/>
      <c r="N30" s="2406"/>
      <c r="O30" s="2406"/>
      <c r="P30" s="2406"/>
      <c r="Q30" s="2406"/>
      <c r="R30" s="2406"/>
      <c r="S30" s="2406"/>
      <c r="T30" s="2406"/>
      <c r="U30" s="2406"/>
      <c r="V30" s="2406"/>
      <c r="W30" s="2406"/>
      <c r="X30" s="2406"/>
      <c r="Y30" s="2406"/>
      <c r="Z30" s="2406"/>
      <c r="AA30" s="2406"/>
      <c r="AB30" s="2406"/>
      <c r="AC30" s="2406"/>
      <c r="AD30" s="2406"/>
      <c r="AE30" s="2406"/>
      <c r="AF30" s="2406"/>
      <c r="AG30" s="2406"/>
      <c r="AH30" s="2406"/>
      <c r="AI30" s="2406"/>
      <c r="AJ30" s="2406"/>
      <c r="AK30" s="2406"/>
      <c r="AL30" s="2406"/>
      <c r="AM30" s="2406"/>
      <c r="AN30" s="2406"/>
      <c r="AO30" s="2406"/>
      <c r="AP30" s="2406"/>
      <c r="AQ30" s="2406"/>
      <c r="AR30" s="2406"/>
      <c r="AS30" s="2394"/>
      <c r="AT30" s="2394"/>
      <c r="AU30" s="2394"/>
      <c r="AV30" s="2394"/>
      <c r="AW30" s="2394"/>
      <c r="AX30" s="2394"/>
      <c r="AY30" s="2394"/>
      <c r="AZ30" s="2394"/>
      <c r="BA30" s="2394"/>
      <c r="BB30" s="2394"/>
      <c r="BC30" s="2394"/>
      <c r="BD30" s="2394"/>
      <c r="BE30" s="2394"/>
      <c r="BF30" s="2394"/>
      <c r="BG30" s="2394"/>
      <c r="BH30" s="2394"/>
      <c r="BI30" s="2394"/>
      <c r="BJ30" s="2394"/>
      <c r="BK30" s="2394"/>
      <c r="BL30" s="2394"/>
      <c r="BM30" s="2394"/>
      <c r="BN30" s="2394"/>
      <c r="BO30" s="2394"/>
    </row>
    <row r="31" s="2946" customFormat="1" ht="27" spans="1:67">
      <c r="A31" s="3008" t="s">
        <v>668</v>
      </c>
      <c r="B31" s="3016">
        <f>B30-B32</f>
        <v>300</v>
      </c>
      <c r="C31" s="3017"/>
      <c r="D31" s="3007"/>
      <c r="E31" s="1492"/>
      <c r="F31" s="1492"/>
      <c r="G31" s="2990"/>
      <c r="H31" s="2990"/>
      <c r="I31" s="2990"/>
      <c r="J31" s="2990"/>
      <c r="K31" s="3079"/>
      <c r="L31" s="3079"/>
      <c r="M31" s="2406"/>
      <c r="N31" s="2406"/>
      <c r="O31" s="2406"/>
      <c r="P31" s="2406"/>
      <c r="Q31" s="2406"/>
      <c r="R31" s="2406"/>
      <c r="S31" s="2406"/>
      <c r="T31" s="2406"/>
      <c r="U31" s="2406"/>
      <c r="V31" s="2406"/>
      <c r="W31" s="2406"/>
      <c r="X31" s="2406"/>
      <c r="Y31" s="2406"/>
      <c r="Z31" s="2406"/>
      <c r="AA31" s="2406"/>
      <c r="AB31" s="2406"/>
      <c r="AC31" s="2406"/>
      <c r="AD31" s="2406"/>
      <c r="AE31" s="2406"/>
      <c r="AF31" s="2406"/>
      <c r="AG31" s="2406"/>
      <c r="AH31" s="2406"/>
      <c r="AI31" s="2406"/>
      <c r="AJ31" s="2406"/>
      <c r="AK31" s="2406"/>
      <c r="AL31" s="2406"/>
      <c r="AM31" s="2406"/>
      <c r="AN31" s="2406"/>
      <c r="AO31" s="2406"/>
      <c r="AP31" s="2406"/>
      <c r="AQ31" s="2406"/>
      <c r="AR31" s="2406"/>
      <c r="AS31" s="2394"/>
      <c r="AT31" s="2394"/>
      <c r="AU31" s="2394"/>
      <c r="AV31" s="2394"/>
      <c r="AW31" s="2394"/>
      <c r="AX31" s="2394"/>
      <c r="AY31" s="2394"/>
      <c r="AZ31" s="2394"/>
      <c r="BA31" s="2394"/>
      <c r="BB31" s="2394"/>
      <c r="BC31" s="2394"/>
      <c r="BD31" s="2394"/>
      <c r="BE31" s="2394"/>
      <c r="BF31" s="2394"/>
      <c r="BG31" s="2394"/>
      <c r="BH31" s="2394"/>
      <c r="BI31" s="2394"/>
      <c r="BJ31" s="2394"/>
      <c r="BK31" s="2394"/>
      <c r="BL31" s="2394"/>
      <c r="BM31" s="2394"/>
      <c r="BN31" s="2394"/>
      <c r="BO31" s="2394"/>
    </row>
    <row r="32" s="2946" customFormat="1" ht="27.75" spans="1:67">
      <c r="A32" s="3018" t="s">
        <v>669</v>
      </c>
      <c r="B32" s="3019">
        <v>0</v>
      </c>
      <c r="C32" s="3010"/>
      <c r="D32" s="2991"/>
      <c r="E32" s="2990"/>
      <c r="F32" s="2990"/>
      <c r="G32" s="2990"/>
      <c r="H32" s="2990"/>
      <c r="I32" s="2990"/>
      <c r="J32" s="2990"/>
      <c r="K32" s="3079"/>
      <c r="L32" s="3079"/>
      <c r="M32" s="2406"/>
      <c r="N32" s="2406"/>
      <c r="O32" s="2406"/>
      <c r="P32" s="2406"/>
      <c r="Q32" s="2406"/>
      <c r="R32" s="2406"/>
      <c r="S32" s="2406"/>
      <c r="T32" s="2406"/>
      <c r="U32" s="2406"/>
      <c r="V32" s="2406"/>
      <c r="W32" s="2406"/>
      <c r="X32" s="2406"/>
      <c r="Y32" s="2406"/>
      <c r="Z32" s="2406"/>
      <c r="AA32" s="2406"/>
      <c r="AB32" s="2406"/>
      <c r="AC32" s="2406"/>
      <c r="AD32" s="2406"/>
      <c r="AE32" s="2406"/>
      <c r="AF32" s="2406"/>
      <c r="AG32" s="2406"/>
      <c r="AH32" s="2406"/>
      <c r="AI32" s="2406"/>
      <c r="AJ32" s="2406"/>
      <c r="AK32" s="2406"/>
      <c r="AL32" s="2406"/>
      <c r="AM32" s="2406"/>
      <c r="AN32" s="2406"/>
      <c r="AO32" s="2406"/>
      <c r="AP32" s="2406"/>
      <c r="AQ32" s="2406"/>
      <c r="AR32" s="2406"/>
      <c r="AS32" s="2394"/>
      <c r="AT32" s="2394"/>
      <c r="AU32" s="2394"/>
      <c r="AV32" s="2394"/>
      <c r="AW32" s="2394"/>
      <c r="AX32" s="2394"/>
      <c r="AY32" s="2394"/>
      <c r="AZ32" s="2394"/>
      <c r="BA32" s="2394"/>
      <c r="BB32" s="2394"/>
      <c r="BC32" s="2394"/>
      <c r="BD32" s="2394"/>
      <c r="BE32" s="2394"/>
      <c r="BF32" s="2394"/>
      <c r="BG32" s="2394"/>
      <c r="BH32" s="2394"/>
      <c r="BI32" s="2394"/>
      <c r="BJ32" s="2394"/>
      <c r="BK32" s="2394"/>
      <c r="BL32" s="2394"/>
      <c r="BM32" s="2394"/>
      <c r="BN32" s="2394"/>
      <c r="BO32" s="2394"/>
    </row>
    <row r="33" s="2946" customFormat="1" ht="14.25" spans="1:67">
      <c r="A33" s="3004" t="s">
        <v>670</v>
      </c>
      <c r="B33" s="3020">
        <v>0.03</v>
      </c>
      <c r="C33" s="3021" t="s">
        <v>671</v>
      </c>
      <c r="D33" s="2991"/>
      <c r="E33" s="2990"/>
      <c r="F33" s="2990"/>
      <c r="G33" s="2990"/>
      <c r="H33" s="2990"/>
      <c r="I33" s="2990"/>
      <c r="J33" s="2990"/>
      <c r="K33" s="3079"/>
      <c r="L33" s="3079"/>
      <c r="M33" s="2406"/>
      <c r="N33" s="2406"/>
      <c r="O33" s="2406"/>
      <c r="P33" s="2406"/>
      <c r="Q33" s="2406"/>
      <c r="R33" s="2406"/>
      <c r="S33" s="2406"/>
      <c r="T33" s="2406"/>
      <c r="U33" s="2406"/>
      <c r="V33" s="2406"/>
      <c r="W33" s="2406"/>
      <c r="X33" s="2406"/>
      <c r="Y33" s="2406"/>
      <c r="Z33" s="2406"/>
      <c r="AA33" s="2406"/>
      <c r="AB33" s="2406"/>
      <c r="AC33" s="2406"/>
      <c r="AD33" s="2406"/>
      <c r="AE33" s="2406"/>
      <c r="AF33" s="2406"/>
      <c r="AG33" s="2406"/>
      <c r="AH33" s="2406"/>
      <c r="AI33" s="2406"/>
      <c r="AJ33" s="2406"/>
      <c r="AK33" s="2406"/>
      <c r="AL33" s="2406"/>
      <c r="AM33" s="2406"/>
      <c r="AN33" s="2406"/>
      <c r="AO33" s="2406"/>
      <c r="AP33" s="2406"/>
      <c r="AQ33" s="2406"/>
      <c r="AR33" s="2406"/>
      <c r="AS33" s="2394"/>
      <c r="AT33" s="2394"/>
      <c r="AU33" s="2394"/>
      <c r="AV33" s="2394"/>
      <c r="AW33" s="2394"/>
      <c r="AX33" s="2394"/>
      <c r="AY33" s="2394"/>
      <c r="AZ33" s="2394"/>
      <c r="BA33" s="2394"/>
      <c r="BB33" s="2394"/>
      <c r="BC33" s="2394"/>
      <c r="BD33" s="2394"/>
      <c r="BE33" s="2394"/>
      <c r="BF33" s="2394"/>
      <c r="BG33" s="2394"/>
      <c r="BH33" s="2394"/>
      <c r="BI33" s="2394"/>
      <c r="BJ33" s="2394"/>
      <c r="BK33" s="2394"/>
      <c r="BL33" s="2394"/>
      <c r="BM33" s="2394"/>
      <c r="BN33" s="2394"/>
      <c r="BO33" s="2394"/>
    </row>
    <row r="34" s="2946" customFormat="1" ht="14.25" spans="1:67">
      <c r="A34" s="3008" t="s">
        <v>672</v>
      </c>
      <c r="B34" s="3022">
        <v>0.05</v>
      </c>
      <c r="C34" s="3021" t="s">
        <v>673</v>
      </c>
      <c r="D34" s="3023" t="s">
        <v>674</v>
      </c>
      <c r="E34" s="2987"/>
      <c r="F34" s="2990"/>
      <c r="G34" s="2990"/>
      <c r="H34" s="2990"/>
      <c r="I34" s="2990"/>
      <c r="J34" s="2990"/>
      <c r="K34" s="3079"/>
      <c r="L34" s="3079"/>
      <c r="M34" s="2406"/>
      <c r="N34" s="2406"/>
      <c r="O34" s="2406"/>
      <c r="P34" s="2406"/>
      <c r="Q34" s="2406"/>
      <c r="R34" s="2406"/>
      <c r="S34" s="2406"/>
      <c r="T34" s="2406"/>
      <c r="U34" s="2406"/>
      <c r="V34" s="2406"/>
      <c r="W34" s="2406"/>
      <c r="X34" s="2406"/>
      <c r="Y34" s="2406"/>
      <c r="Z34" s="2406"/>
      <c r="AA34" s="2406"/>
      <c r="AB34" s="2406"/>
      <c r="AC34" s="2406"/>
      <c r="AD34" s="2406"/>
      <c r="AE34" s="2406"/>
      <c r="AF34" s="2406"/>
      <c r="AG34" s="2406"/>
      <c r="AH34" s="2406"/>
      <c r="AI34" s="2406"/>
      <c r="AJ34" s="2406"/>
      <c r="AK34" s="2406"/>
      <c r="AL34" s="2406"/>
      <c r="AM34" s="2406"/>
      <c r="AN34" s="2406"/>
      <c r="AO34" s="2406"/>
      <c r="AP34" s="2406"/>
      <c r="AQ34" s="2406"/>
      <c r="AR34" s="2406"/>
      <c r="AS34" s="2394"/>
      <c r="AT34" s="2394"/>
      <c r="AU34" s="2394"/>
      <c r="AV34" s="2394"/>
      <c r="AW34" s="2394"/>
      <c r="AX34" s="2394"/>
      <c r="AY34" s="2394"/>
      <c r="AZ34" s="2394"/>
      <c r="BA34" s="2394"/>
      <c r="BB34" s="2394"/>
      <c r="BC34" s="2394"/>
      <c r="BD34" s="2394"/>
      <c r="BE34" s="2394"/>
      <c r="BF34" s="2394"/>
      <c r="BG34" s="2394"/>
      <c r="BH34" s="2394"/>
      <c r="BI34" s="2394"/>
      <c r="BJ34" s="2394"/>
      <c r="BK34" s="2394"/>
      <c r="BL34" s="2394"/>
      <c r="BM34" s="2394"/>
      <c r="BN34" s="2394"/>
      <c r="BO34" s="2394"/>
    </row>
    <row r="35" s="2946" customFormat="1" ht="14.25" spans="1:67">
      <c r="A35" s="3008" t="s">
        <v>675</v>
      </c>
      <c r="B35" s="3009">
        <v>300</v>
      </c>
      <c r="C35" s="3021" t="s">
        <v>676</v>
      </c>
      <c r="D35" s="3007"/>
      <c r="E35" s="1492"/>
      <c r="F35" s="1492"/>
      <c r="G35" s="2990"/>
      <c r="H35" s="2990"/>
      <c r="I35" s="2990"/>
      <c r="J35" s="2990"/>
      <c r="K35" s="3079"/>
      <c r="L35" s="3079"/>
      <c r="M35" s="2406"/>
      <c r="N35" s="2406"/>
      <c r="O35" s="2406"/>
      <c r="P35" s="2406"/>
      <c r="Q35" s="2406"/>
      <c r="R35" s="2406"/>
      <c r="S35" s="2406"/>
      <c r="T35" s="2406"/>
      <c r="U35" s="2406"/>
      <c r="V35" s="2406"/>
      <c r="W35" s="2406"/>
      <c r="X35" s="2406"/>
      <c r="Y35" s="2406"/>
      <c r="Z35" s="2406"/>
      <c r="AA35" s="2406"/>
      <c r="AB35" s="2406"/>
      <c r="AC35" s="2406"/>
      <c r="AD35" s="2406"/>
      <c r="AE35" s="2406"/>
      <c r="AF35" s="2406"/>
      <c r="AG35" s="2406"/>
      <c r="AH35" s="2406"/>
      <c r="AI35" s="2406"/>
      <c r="AJ35" s="2406"/>
      <c r="AK35" s="2406"/>
      <c r="AL35" s="2406"/>
      <c r="AM35" s="2406"/>
      <c r="AN35" s="2406"/>
      <c r="AO35" s="2406"/>
      <c r="AP35" s="2406"/>
      <c r="AQ35" s="2406"/>
      <c r="AR35" s="2406"/>
      <c r="AS35" s="2394"/>
      <c r="AT35" s="2394"/>
      <c r="AU35" s="2394"/>
      <c r="AV35" s="2394"/>
      <c r="AW35" s="2394"/>
      <c r="AX35" s="2394"/>
      <c r="AY35" s="2394"/>
      <c r="AZ35" s="2394"/>
      <c r="BA35" s="2394"/>
      <c r="BB35" s="2394"/>
      <c r="BC35" s="2394"/>
      <c r="BD35" s="2394"/>
      <c r="BE35" s="2394"/>
      <c r="BF35" s="2394"/>
      <c r="BG35" s="2394"/>
      <c r="BH35" s="2394"/>
      <c r="BI35" s="2394"/>
      <c r="BJ35" s="2394"/>
      <c r="BK35" s="2394"/>
      <c r="BL35" s="2394"/>
      <c r="BM35" s="2394"/>
      <c r="BN35" s="2394"/>
      <c r="BO35" s="2394"/>
    </row>
    <row r="36" ht="15" spans="1:44">
      <c r="A36" s="3011" t="s">
        <v>677</v>
      </c>
      <c r="B36" s="3024">
        <v>0.015</v>
      </c>
      <c r="C36" s="3021" t="s">
        <v>678</v>
      </c>
      <c r="D36" s="2991"/>
      <c r="E36" s="2990"/>
      <c r="F36" s="2990"/>
      <c r="G36" s="2990"/>
      <c r="H36" s="2990"/>
      <c r="I36" s="2990"/>
      <c r="J36" s="2990"/>
      <c r="K36" s="3079"/>
      <c r="L36" s="3079"/>
      <c r="M36" s="2406"/>
      <c r="N36" s="2406"/>
      <c r="O36" s="2406"/>
      <c r="P36" s="2406"/>
      <c r="Q36" s="2406"/>
      <c r="R36" s="2406"/>
      <c r="S36" s="2406"/>
      <c r="T36" s="2406"/>
      <c r="U36" s="2406"/>
      <c r="V36" s="2406"/>
      <c r="W36" s="2406"/>
      <c r="X36" s="2406"/>
      <c r="Y36" s="2406"/>
      <c r="Z36" s="2406"/>
      <c r="AA36" s="2406"/>
      <c r="AB36" s="2406"/>
      <c r="AC36" s="2406"/>
      <c r="AD36" s="2406"/>
      <c r="AE36" s="2406"/>
      <c r="AF36" s="2406"/>
      <c r="AG36" s="2406"/>
      <c r="AH36" s="2406"/>
      <c r="AI36" s="2406"/>
      <c r="AJ36" s="2406"/>
      <c r="AK36" s="2406"/>
      <c r="AL36" s="2406"/>
      <c r="AM36" s="2406"/>
      <c r="AN36" s="2406"/>
      <c r="AO36" s="2406"/>
      <c r="AP36" s="2406"/>
      <c r="AQ36" s="2406"/>
      <c r="AR36" s="2406"/>
    </row>
    <row r="37" ht="14.25" spans="1:44">
      <c r="A37" s="3014" t="s">
        <v>679</v>
      </c>
      <c r="B37" s="3025">
        <v>0.025</v>
      </c>
      <c r="C37" s="3021" t="s">
        <v>680</v>
      </c>
      <c r="D37" s="2991"/>
      <c r="E37" s="2990"/>
      <c r="F37" s="2990"/>
      <c r="G37" s="2990"/>
      <c r="H37" s="2990"/>
      <c r="I37" s="2990"/>
      <c r="J37" s="2990"/>
      <c r="K37" s="3079"/>
      <c r="L37" s="3079"/>
      <c r="M37" s="2406"/>
      <c r="N37" s="2406"/>
      <c r="O37" s="2406"/>
      <c r="P37" s="2406"/>
      <c r="Q37" s="2406"/>
      <c r="R37" s="2406"/>
      <c r="S37" s="2406"/>
      <c r="T37" s="2406"/>
      <c r="U37" s="2406"/>
      <c r="V37" s="2406"/>
      <c r="W37" s="2406"/>
      <c r="X37" s="2406"/>
      <c r="Y37" s="2406"/>
      <c r="Z37" s="2406"/>
      <c r="AA37" s="2406"/>
      <c r="AB37" s="2406"/>
      <c r="AC37" s="2406"/>
      <c r="AD37" s="2406"/>
      <c r="AE37" s="2406"/>
      <c r="AF37" s="2406"/>
      <c r="AG37" s="2406"/>
      <c r="AH37" s="2406"/>
      <c r="AI37" s="2406"/>
      <c r="AJ37" s="2406"/>
      <c r="AK37" s="2406"/>
      <c r="AL37" s="2406"/>
      <c r="AM37" s="2406"/>
      <c r="AN37" s="2406"/>
      <c r="AO37" s="2406"/>
      <c r="AP37" s="2406"/>
      <c r="AQ37" s="2406"/>
      <c r="AR37" s="2406"/>
    </row>
    <row r="38" ht="14.25" spans="1:44">
      <c r="A38" s="3008" t="s">
        <v>681</v>
      </c>
      <c r="B38" s="3026">
        <v>0.025</v>
      </c>
      <c r="C38" s="3021" t="s">
        <v>680</v>
      </c>
      <c r="D38" s="2991"/>
      <c r="E38" s="2990"/>
      <c r="F38" s="2990"/>
      <c r="G38" s="2990"/>
      <c r="H38" s="2990"/>
      <c r="I38" s="2990"/>
      <c r="J38" s="2990"/>
      <c r="K38" s="3079"/>
      <c r="L38" s="3079"/>
      <c r="M38" s="2406"/>
      <c r="N38" s="2406"/>
      <c r="O38" s="2406"/>
      <c r="P38" s="2406"/>
      <c r="Q38" s="2406"/>
      <c r="R38" s="2406"/>
      <c r="S38" s="2406"/>
      <c r="T38" s="2406"/>
      <c r="U38" s="2406"/>
      <c r="V38" s="2406"/>
      <c r="W38" s="2406"/>
      <c r="X38" s="2406"/>
      <c r="Y38" s="2406"/>
      <c r="Z38" s="2406"/>
      <c r="AA38" s="2406"/>
      <c r="AB38" s="2406"/>
      <c r="AC38" s="2406"/>
      <c r="AD38" s="2406"/>
      <c r="AE38" s="2406"/>
      <c r="AF38" s="2406"/>
      <c r="AG38" s="2406"/>
      <c r="AH38" s="2406"/>
      <c r="AI38" s="2406"/>
      <c r="AJ38" s="2406"/>
      <c r="AK38" s="2406"/>
      <c r="AL38" s="2406"/>
      <c r="AM38" s="2406"/>
      <c r="AN38" s="2406"/>
      <c r="AO38" s="2406"/>
      <c r="AP38" s="2406"/>
      <c r="AQ38" s="2406"/>
      <c r="AR38" s="2406"/>
    </row>
    <row r="39" ht="14.25" spans="1:44">
      <c r="A39" s="3018" t="s">
        <v>682</v>
      </c>
      <c r="B39" s="3027">
        <f ca="1">存贷款利率!I1</f>
        <v>0.015</v>
      </c>
      <c r="C39" s="3028"/>
      <c r="D39" s="2991"/>
      <c r="E39" s="2990"/>
      <c r="F39" s="2990"/>
      <c r="G39" s="2990"/>
      <c r="H39" s="2990"/>
      <c r="I39" s="2990"/>
      <c r="J39" s="2990"/>
      <c r="K39" s="3079"/>
      <c r="L39" s="3079"/>
      <c r="M39" s="2406"/>
      <c r="N39" s="2406"/>
      <c r="O39" s="2406"/>
      <c r="P39" s="2406"/>
      <c r="Q39" s="2406"/>
      <c r="R39" s="2406"/>
      <c r="S39" s="2406"/>
      <c r="T39" s="2406"/>
      <c r="U39" s="2406"/>
      <c r="V39" s="2406"/>
      <c r="W39" s="2406"/>
      <c r="X39" s="2406"/>
      <c r="Y39" s="2406"/>
      <c r="Z39" s="2406"/>
      <c r="AA39" s="2406"/>
      <c r="AB39" s="2406"/>
      <c r="AC39" s="2406"/>
      <c r="AD39" s="2406"/>
      <c r="AE39" s="2406"/>
      <c r="AF39" s="2406"/>
      <c r="AG39" s="2406"/>
      <c r="AH39" s="2406"/>
      <c r="AI39" s="2406"/>
      <c r="AJ39" s="2406"/>
      <c r="AK39" s="2406"/>
      <c r="AL39" s="2406"/>
      <c r="AM39" s="2406"/>
      <c r="AN39" s="2406"/>
      <c r="AO39" s="2406"/>
      <c r="AP39" s="2406"/>
      <c r="AQ39" s="2406"/>
      <c r="AR39" s="2406"/>
    </row>
    <row r="40" ht="15" spans="1:44">
      <c r="A40" s="3029" t="s">
        <v>683</v>
      </c>
      <c r="B40" s="3030">
        <v>0.0475</v>
      </c>
      <c r="C40" s="3031">
        <v>0.005</v>
      </c>
      <c r="D40" s="2406"/>
      <c r="E40" s="2991"/>
      <c r="F40" s="2990"/>
      <c r="G40" s="2990"/>
      <c r="H40" s="2990"/>
      <c r="I40" s="2990"/>
      <c r="J40" s="2990"/>
      <c r="K40" s="3079"/>
      <c r="L40" s="3079"/>
      <c r="M40" s="2406"/>
      <c r="N40" s="2406"/>
      <c r="O40" s="2406"/>
      <c r="P40" s="2406"/>
      <c r="Q40" s="2406"/>
      <c r="R40" s="2406"/>
      <c r="S40" s="2406"/>
      <c r="T40" s="2406"/>
      <c r="U40" s="2406"/>
      <c r="V40" s="2406"/>
      <c r="W40" s="2406"/>
      <c r="X40" s="2406"/>
      <c r="Y40" s="2406"/>
      <c r="Z40" s="2406"/>
      <c r="AA40" s="2406"/>
      <c r="AB40" s="2406"/>
      <c r="AC40" s="2406"/>
      <c r="AD40" s="2406"/>
      <c r="AE40" s="2406"/>
      <c r="AF40" s="2406"/>
      <c r="AG40" s="2406"/>
      <c r="AH40" s="2406"/>
      <c r="AI40" s="2406"/>
      <c r="AJ40" s="2406"/>
      <c r="AK40" s="2406"/>
      <c r="AL40" s="2406"/>
      <c r="AM40" s="2406"/>
      <c r="AN40" s="2406"/>
      <c r="AO40" s="2406"/>
      <c r="AP40" s="2406"/>
      <c r="AQ40" s="2406"/>
      <c r="AR40" s="2406"/>
    </row>
    <row r="41" ht="14.25" spans="1:44">
      <c r="A41" s="3004" t="s">
        <v>684</v>
      </c>
      <c r="B41" s="3032">
        <f>B42+B43</f>
        <v>0.056</v>
      </c>
      <c r="C41" s="3017"/>
      <c r="D41" s="2406"/>
      <c r="E41" s="2991"/>
      <c r="F41" s="2990"/>
      <c r="G41" s="2990"/>
      <c r="H41" s="2990"/>
      <c r="I41" s="2990"/>
      <c r="J41" s="2990"/>
      <c r="K41" s="3079"/>
      <c r="L41" s="3079"/>
      <c r="M41" s="2406"/>
      <c r="N41" s="2406"/>
      <c r="O41" s="2406"/>
      <c r="P41" s="2406"/>
      <c r="Q41" s="2406"/>
      <c r="R41" s="2406"/>
      <c r="S41" s="2406"/>
      <c r="T41" s="2406"/>
      <c r="U41" s="2406"/>
      <c r="V41" s="2406"/>
      <c r="W41" s="2406"/>
      <c r="X41" s="2406"/>
      <c r="Y41" s="2406"/>
      <c r="Z41" s="2406"/>
      <c r="AA41" s="2406"/>
      <c r="AB41" s="2406"/>
      <c r="AC41" s="2406"/>
      <c r="AD41" s="2406"/>
      <c r="AE41" s="2406"/>
      <c r="AF41" s="2406"/>
      <c r="AG41" s="2406"/>
      <c r="AH41" s="2406"/>
      <c r="AI41" s="2406"/>
      <c r="AJ41" s="2406"/>
      <c r="AK41" s="2406"/>
      <c r="AL41" s="2406"/>
      <c r="AM41" s="2406"/>
      <c r="AN41" s="2406"/>
      <c r="AO41" s="2406"/>
      <c r="AP41" s="2406"/>
      <c r="AQ41" s="2406"/>
      <c r="AR41" s="2406"/>
    </row>
    <row r="42" ht="14.25" spans="1:44">
      <c r="A42" s="3033" t="s">
        <v>685</v>
      </c>
      <c r="B42" s="3034">
        <v>0.05</v>
      </c>
      <c r="C42" s="3035">
        <f>IF(B2&lt;DATE(2016,5,1),0,B42)</f>
        <v>0.05</v>
      </c>
      <c r="D42" s="2991"/>
      <c r="E42" s="2990"/>
      <c r="F42" s="2990"/>
      <c r="G42" s="2990"/>
      <c r="H42" s="2990"/>
      <c r="I42" s="2990"/>
      <c r="J42" s="2990"/>
      <c r="K42" s="3079"/>
      <c r="L42" s="3079"/>
      <c r="M42" s="2406"/>
      <c r="N42" s="2406"/>
      <c r="O42" s="2406"/>
      <c r="P42" s="2406"/>
      <c r="Q42" s="2406"/>
      <c r="R42" s="2406"/>
      <c r="S42" s="2406"/>
      <c r="T42" s="2406"/>
      <c r="U42" s="2406"/>
      <c r="V42" s="2406"/>
      <c r="W42" s="2406"/>
      <c r="X42" s="2406"/>
      <c r="Y42" s="2406"/>
      <c r="Z42" s="2406"/>
      <c r="AA42" s="2406"/>
      <c r="AB42" s="2406"/>
      <c r="AC42" s="2406"/>
      <c r="AD42" s="2406"/>
      <c r="AE42" s="2406"/>
      <c r="AF42" s="2406"/>
      <c r="AG42" s="2406"/>
      <c r="AH42" s="2406"/>
      <c r="AI42" s="2406"/>
      <c r="AJ42" s="2406"/>
      <c r="AK42" s="2406"/>
      <c r="AL42" s="2406"/>
      <c r="AM42" s="2406"/>
      <c r="AN42" s="2406"/>
      <c r="AO42" s="2406"/>
      <c r="AP42" s="2406"/>
      <c r="AQ42" s="2406"/>
      <c r="AR42" s="2406"/>
    </row>
    <row r="43" ht="14.25" spans="1:44">
      <c r="A43" s="3033" t="s">
        <v>686</v>
      </c>
      <c r="B43" s="3036">
        <f>B42*(B44+B45+B46)+B47</f>
        <v>0.006</v>
      </c>
      <c r="C43" s="3017"/>
      <c r="D43" s="2991"/>
      <c r="E43" s="2990"/>
      <c r="F43" s="2990"/>
      <c r="G43" s="2990"/>
      <c r="H43" s="2990"/>
      <c r="I43" s="2990"/>
      <c r="J43" s="2990"/>
      <c r="K43" s="3079"/>
      <c r="L43" s="3079"/>
      <c r="M43" s="2406"/>
      <c r="N43" s="2406"/>
      <c r="O43" s="2406"/>
      <c r="P43" s="2406"/>
      <c r="Q43" s="2406"/>
      <c r="R43" s="2406"/>
      <c r="S43" s="2406"/>
      <c r="T43" s="2406"/>
      <c r="U43" s="2406"/>
      <c r="V43" s="2406"/>
      <c r="W43" s="2406"/>
      <c r="X43" s="2406"/>
      <c r="Y43" s="2406"/>
      <c r="Z43" s="2406"/>
      <c r="AA43" s="2406"/>
      <c r="AB43" s="2406"/>
      <c r="AC43" s="2406"/>
      <c r="AD43" s="2406"/>
      <c r="AE43" s="2406"/>
      <c r="AF43" s="2406"/>
      <c r="AG43" s="2406"/>
      <c r="AH43" s="2406"/>
      <c r="AI43" s="2406"/>
      <c r="AJ43" s="2406"/>
      <c r="AK43" s="2406"/>
      <c r="AL43" s="2406"/>
      <c r="AM43" s="2406"/>
      <c r="AN43" s="2406"/>
      <c r="AO43" s="2406"/>
      <c r="AP43" s="2406"/>
      <c r="AQ43" s="2406"/>
      <c r="AR43" s="2406"/>
    </row>
    <row r="44" ht="14.25" spans="1:44">
      <c r="A44" s="3037" t="s">
        <v>687</v>
      </c>
      <c r="B44" s="3038">
        <v>0.07</v>
      </c>
      <c r="C44" s="3021" t="s">
        <v>688</v>
      </c>
      <c r="D44" s="2991"/>
      <c r="E44" s="2990"/>
      <c r="F44" s="2990"/>
      <c r="G44" s="2990"/>
      <c r="H44" s="2990"/>
      <c r="I44" s="2990"/>
      <c r="J44" s="2990"/>
      <c r="K44" s="3079"/>
      <c r="L44" s="3079"/>
      <c r="M44" s="2406"/>
      <c r="N44" s="2406"/>
      <c r="O44" s="2406"/>
      <c r="P44" s="2406"/>
      <c r="Q44" s="2406"/>
      <c r="R44" s="2406"/>
      <c r="S44" s="2406"/>
      <c r="T44" s="2406"/>
      <c r="U44" s="2406"/>
      <c r="V44" s="2406"/>
      <c r="W44" s="2406"/>
      <c r="X44" s="2406"/>
      <c r="Y44" s="2406"/>
      <c r="Z44" s="2406"/>
      <c r="AA44" s="2406"/>
      <c r="AB44" s="2406"/>
      <c r="AC44" s="2406"/>
      <c r="AD44" s="2406"/>
      <c r="AE44" s="2406"/>
      <c r="AF44" s="2406"/>
      <c r="AG44" s="2406"/>
      <c r="AH44" s="2406"/>
      <c r="AI44" s="2406"/>
      <c r="AJ44" s="2406"/>
      <c r="AK44" s="2406"/>
      <c r="AL44" s="2406"/>
      <c r="AM44" s="2406"/>
      <c r="AN44" s="2406"/>
      <c r="AO44" s="2406"/>
      <c r="AP44" s="2406"/>
      <c r="AQ44" s="2406"/>
      <c r="AR44" s="2406"/>
    </row>
    <row r="45" ht="14.25" spans="1:44">
      <c r="A45" s="3037" t="s">
        <v>689</v>
      </c>
      <c r="B45" s="3034">
        <v>0.03</v>
      </c>
      <c r="C45" s="3013" t="s">
        <v>690</v>
      </c>
      <c r="D45" s="2991"/>
      <c r="E45" s="2990"/>
      <c r="F45" s="2990"/>
      <c r="G45" s="2990"/>
      <c r="H45" s="2990"/>
      <c r="I45" s="2990"/>
      <c r="J45" s="2990"/>
      <c r="K45" s="3079"/>
      <c r="L45" s="3079"/>
      <c r="M45" s="2406"/>
      <c r="N45" s="2406"/>
      <c r="O45" s="2406"/>
      <c r="P45" s="2406"/>
      <c r="Q45" s="2406"/>
      <c r="R45" s="2406"/>
      <c r="S45" s="2406"/>
      <c r="T45" s="2406"/>
      <c r="U45" s="2406"/>
      <c r="V45" s="2406"/>
      <c r="W45" s="2406"/>
      <c r="X45" s="2406"/>
      <c r="Y45" s="2406"/>
      <c r="Z45" s="2406"/>
      <c r="AA45" s="2406"/>
      <c r="AB45" s="2406"/>
      <c r="AC45" s="2406"/>
      <c r="AD45" s="2406"/>
      <c r="AE45" s="2406"/>
      <c r="AF45" s="2406"/>
      <c r="AG45" s="2406"/>
      <c r="AH45" s="2406"/>
      <c r="AI45" s="2406"/>
      <c r="AJ45" s="2406"/>
      <c r="AK45" s="2406"/>
      <c r="AL45" s="2406"/>
      <c r="AM45" s="2406"/>
      <c r="AN45" s="2406"/>
      <c r="AO45" s="2406"/>
      <c r="AP45" s="2406"/>
      <c r="AQ45" s="2406"/>
      <c r="AR45" s="2406"/>
    </row>
    <row r="46" ht="14.25" spans="1:44">
      <c r="A46" s="3037" t="s">
        <v>691</v>
      </c>
      <c r="B46" s="3034">
        <v>0.02</v>
      </c>
      <c r="C46" s="3013" t="s">
        <v>692</v>
      </c>
      <c r="D46" s="2991"/>
      <c r="E46" s="2990"/>
      <c r="F46" s="2990"/>
      <c r="G46" s="2990"/>
      <c r="H46" s="2990"/>
      <c r="I46" s="2990"/>
      <c r="J46" s="2990"/>
      <c r="K46" s="3079"/>
      <c r="L46" s="3079"/>
      <c r="M46" s="2406"/>
      <c r="N46" s="2406"/>
      <c r="O46" s="2406"/>
      <c r="P46" s="2406"/>
      <c r="Q46" s="2406"/>
      <c r="R46" s="2406"/>
      <c r="S46" s="2406"/>
      <c r="T46" s="2406"/>
      <c r="U46" s="2406"/>
      <c r="V46" s="2406"/>
      <c r="W46" s="2406"/>
      <c r="X46" s="2406"/>
      <c r="Y46" s="2406"/>
      <c r="Z46" s="2406"/>
      <c r="AA46" s="2406"/>
      <c r="AB46" s="2406"/>
      <c r="AC46" s="2406"/>
      <c r="AD46" s="2406"/>
      <c r="AE46" s="2406"/>
      <c r="AF46" s="2406"/>
      <c r="AG46" s="2406"/>
      <c r="AH46" s="2406"/>
      <c r="AI46" s="2406"/>
      <c r="AJ46" s="2406"/>
      <c r="AK46" s="2406"/>
      <c r="AL46" s="2406"/>
      <c r="AM46" s="2406"/>
      <c r="AN46" s="2406"/>
      <c r="AO46" s="2406"/>
      <c r="AP46" s="2406"/>
      <c r="AQ46" s="2406"/>
      <c r="AR46" s="2406"/>
    </row>
    <row r="47" ht="15" spans="1:44">
      <c r="A47" s="3039" t="s">
        <v>693</v>
      </c>
      <c r="B47" s="3040"/>
      <c r="C47" s="3041" t="s">
        <v>694</v>
      </c>
      <c r="D47" s="2991"/>
      <c r="E47" s="2990"/>
      <c r="F47" s="2990"/>
      <c r="G47" s="2990"/>
      <c r="H47" s="2990"/>
      <c r="I47" s="2990"/>
      <c r="J47" s="2990"/>
      <c r="K47" s="3079"/>
      <c r="L47" s="3079"/>
      <c r="M47" s="2406"/>
      <c r="N47" s="2406"/>
      <c r="O47" s="2406"/>
      <c r="P47" s="2406"/>
      <c r="Q47" s="2406"/>
      <c r="R47" s="2406"/>
      <c r="S47" s="2406"/>
      <c r="T47" s="2406"/>
      <c r="U47" s="2406"/>
      <c r="V47" s="2406"/>
      <c r="W47" s="2406"/>
      <c r="X47" s="2406"/>
      <c r="Y47" s="2406"/>
      <c r="Z47" s="2406"/>
      <c r="AA47" s="2406"/>
      <c r="AB47" s="2406"/>
      <c r="AC47" s="2406"/>
      <c r="AD47" s="2406"/>
      <c r="AE47" s="2406"/>
      <c r="AF47" s="2406"/>
      <c r="AG47" s="2406"/>
      <c r="AH47" s="2406"/>
      <c r="AI47" s="2406"/>
      <c r="AJ47" s="2406"/>
      <c r="AK47" s="2406"/>
      <c r="AL47" s="2406"/>
      <c r="AM47" s="2406"/>
      <c r="AN47" s="2406"/>
      <c r="AO47" s="2406"/>
      <c r="AP47" s="2406"/>
      <c r="AQ47" s="2406"/>
      <c r="AR47" s="2406"/>
    </row>
    <row r="48" ht="14.25" spans="1:44">
      <c r="A48" s="3042" t="s">
        <v>695</v>
      </c>
      <c r="B48" s="3043">
        <v>0.03</v>
      </c>
      <c r="C48" s="3013" t="s">
        <v>690</v>
      </c>
      <c r="D48" s="2991"/>
      <c r="E48" s="2990"/>
      <c r="F48" s="2990"/>
      <c r="G48" s="2990"/>
      <c r="H48" s="2990"/>
      <c r="I48" s="2990"/>
      <c r="J48" s="2990"/>
      <c r="K48" s="3079"/>
      <c r="L48" s="3079"/>
      <c r="M48" s="2406"/>
      <c r="N48" s="2406"/>
      <c r="O48" s="2406"/>
      <c r="P48" s="2406"/>
      <c r="Q48" s="2406"/>
      <c r="R48" s="2406"/>
      <c r="S48" s="2406"/>
      <c r="T48" s="2406"/>
      <c r="U48" s="2406"/>
      <c r="V48" s="2406"/>
      <c r="W48" s="2406"/>
      <c r="X48" s="2406"/>
      <c r="Y48" s="2406"/>
      <c r="Z48" s="2406"/>
      <c r="AA48" s="2406"/>
      <c r="AB48" s="2406"/>
      <c r="AC48" s="2406"/>
      <c r="AD48" s="2406"/>
      <c r="AE48" s="2406"/>
      <c r="AF48" s="2406"/>
      <c r="AG48" s="2406"/>
      <c r="AH48" s="2406"/>
      <c r="AI48" s="2406"/>
      <c r="AJ48" s="2406"/>
      <c r="AK48" s="2406"/>
      <c r="AL48" s="2406"/>
      <c r="AM48" s="2406"/>
      <c r="AN48" s="2406"/>
      <c r="AO48" s="2406"/>
      <c r="AP48" s="2406"/>
      <c r="AQ48" s="2406"/>
      <c r="AR48" s="2406"/>
    </row>
    <row r="49" ht="15" spans="1:44">
      <c r="A49" s="3018" t="s">
        <v>696</v>
      </c>
      <c r="B49" s="3034">
        <v>0.0005</v>
      </c>
      <c r="C49" s="3013" t="s">
        <v>697</v>
      </c>
      <c r="D49" s="2991"/>
      <c r="E49" s="2990"/>
      <c r="F49" s="2990"/>
      <c r="G49" s="2990"/>
      <c r="H49" s="2990"/>
      <c r="I49" s="2990"/>
      <c r="J49" s="2990"/>
      <c r="K49" s="3079"/>
      <c r="L49" s="3079"/>
      <c r="M49" s="2406"/>
      <c r="N49" s="2406"/>
      <c r="O49" s="2406"/>
      <c r="P49" s="2406"/>
      <c r="Q49" s="2406"/>
      <c r="R49" s="2406"/>
      <c r="S49" s="2406"/>
      <c r="T49" s="2406"/>
      <c r="U49" s="2406"/>
      <c r="V49" s="2406"/>
      <c r="W49" s="2406"/>
      <c r="X49" s="2406"/>
      <c r="Y49" s="2406"/>
      <c r="Z49" s="2406"/>
      <c r="AA49" s="2406"/>
      <c r="AB49" s="2406"/>
      <c r="AC49" s="2406"/>
      <c r="AD49" s="2406"/>
      <c r="AE49" s="2406"/>
      <c r="AF49" s="2406"/>
      <c r="AG49" s="2406"/>
      <c r="AH49" s="2406"/>
      <c r="AI49" s="2406"/>
      <c r="AJ49" s="2406"/>
      <c r="AK49" s="2406"/>
      <c r="AL49" s="2406"/>
      <c r="AM49" s="2406"/>
      <c r="AN49" s="2406"/>
      <c r="AO49" s="2406"/>
      <c r="AP49" s="2406"/>
      <c r="AQ49" s="2406"/>
      <c r="AR49" s="2406"/>
    </row>
    <row r="50" ht="14.25" spans="1:44">
      <c r="A50" s="3044" t="s">
        <v>698</v>
      </c>
      <c r="B50" s="3045">
        <v>0.012</v>
      </c>
      <c r="C50" s="1492"/>
      <c r="D50" s="2991"/>
      <c r="E50" s="2990"/>
      <c r="F50" s="2990"/>
      <c r="G50" s="2990"/>
      <c r="H50" s="2990"/>
      <c r="I50" s="2990"/>
      <c r="J50" s="2990"/>
      <c r="K50" s="3079"/>
      <c r="L50" s="3079"/>
      <c r="M50" s="2406"/>
      <c r="N50" s="2406"/>
      <c r="O50" s="2406"/>
      <c r="P50" s="2406"/>
      <c r="Q50" s="2406"/>
      <c r="R50" s="2406"/>
      <c r="S50" s="2406"/>
      <c r="T50" s="2406"/>
      <c r="U50" s="2406"/>
      <c r="V50" s="2406"/>
      <c r="W50" s="2406"/>
      <c r="X50" s="2406"/>
      <c r="Y50" s="2406"/>
      <c r="Z50" s="2406"/>
      <c r="AA50" s="2406"/>
      <c r="AB50" s="2406"/>
      <c r="AC50" s="2406"/>
      <c r="AD50" s="2406"/>
      <c r="AE50" s="2406"/>
      <c r="AF50" s="2406"/>
      <c r="AG50" s="2406"/>
      <c r="AH50" s="2406"/>
      <c r="AI50" s="2406"/>
      <c r="AJ50" s="2406"/>
      <c r="AK50" s="2406"/>
      <c r="AL50" s="2406"/>
      <c r="AM50" s="2406"/>
      <c r="AN50" s="2406"/>
      <c r="AO50" s="2406"/>
      <c r="AP50" s="2406"/>
      <c r="AQ50" s="2406"/>
      <c r="AR50" s="2406"/>
    </row>
    <row r="51" ht="15" spans="1:44">
      <c r="A51" s="3011" t="s">
        <v>699</v>
      </c>
      <c r="B51" s="3046">
        <v>0.12</v>
      </c>
      <c r="C51" s="1492"/>
      <c r="D51" s="2991"/>
      <c r="E51" s="2990"/>
      <c r="F51" s="2990"/>
      <c r="G51" s="2990"/>
      <c r="H51" s="2990"/>
      <c r="I51" s="2990"/>
      <c r="J51" s="2990"/>
      <c r="K51" s="3079"/>
      <c r="L51" s="3079"/>
      <c r="M51" s="2406"/>
      <c r="N51" s="2406"/>
      <c r="O51" s="2406"/>
      <c r="P51" s="2406"/>
      <c r="Q51" s="2406"/>
      <c r="R51" s="2406"/>
      <c r="S51" s="2406"/>
      <c r="T51" s="2406"/>
      <c r="U51" s="2406"/>
      <c r="V51" s="2406"/>
      <c r="W51" s="2406"/>
      <c r="X51" s="2406"/>
      <c r="Y51" s="2406"/>
      <c r="Z51" s="2406"/>
      <c r="AA51" s="2406"/>
      <c r="AB51" s="2406"/>
      <c r="AC51" s="2406"/>
      <c r="AD51" s="2406"/>
      <c r="AE51" s="2406"/>
      <c r="AF51" s="2406"/>
      <c r="AG51" s="2406"/>
      <c r="AH51" s="2406"/>
      <c r="AI51" s="2406"/>
      <c r="AJ51" s="2406"/>
      <c r="AK51" s="2406"/>
      <c r="AL51" s="2406"/>
      <c r="AM51" s="2406"/>
      <c r="AN51" s="2406"/>
      <c r="AO51" s="2406"/>
      <c r="AP51" s="2406"/>
      <c r="AQ51" s="2406"/>
      <c r="AR51" s="2406"/>
    </row>
    <row r="52" ht="14.25" spans="1:44">
      <c r="A52" s="3044" t="s">
        <v>700</v>
      </c>
      <c r="B52" s="3047">
        <f>SUMIF(A54:A63,B53,B54:B63)</f>
        <v>0</v>
      </c>
      <c r="C52" s="1492"/>
      <c r="D52" s="2991"/>
      <c r="E52" s="2990"/>
      <c r="F52" s="2990"/>
      <c r="G52" s="2990"/>
      <c r="H52" s="2990"/>
      <c r="I52" s="2990"/>
      <c r="J52" s="2990"/>
      <c r="K52" s="3079"/>
      <c r="L52" s="3079"/>
      <c r="M52" s="2406"/>
      <c r="N52" s="2406"/>
      <c r="O52" s="2406"/>
      <c r="P52" s="2406"/>
      <c r="Q52" s="2406"/>
      <c r="R52" s="2406"/>
      <c r="S52" s="2406"/>
      <c r="T52" s="2406"/>
      <c r="U52" s="2406"/>
      <c r="V52" s="2406"/>
      <c r="W52" s="2406"/>
      <c r="X52" s="2406"/>
      <c r="Y52" s="2406"/>
      <c r="Z52" s="2406"/>
      <c r="AA52" s="2406"/>
      <c r="AB52" s="2406"/>
      <c r="AC52" s="2406"/>
      <c r="AD52" s="2406"/>
      <c r="AE52" s="2406"/>
      <c r="AF52" s="2406"/>
      <c r="AG52" s="2406"/>
      <c r="AH52" s="2406"/>
      <c r="AI52" s="2406"/>
      <c r="AJ52" s="2406"/>
      <c r="AK52" s="2406"/>
      <c r="AL52" s="2406"/>
      <c r="AM52" s="2406"/>
      <c r="AN52" s="2406"/>
      <c r="AO52" s="2406"/>
      <c r="AP52" s="2406"/>
      <c r="AQ52" s="2406"/>
      <c r="AR52" s="2406"/>
    </row>
    <row r="53" ht="27" spans="1:44">
      <c r="A53" s="3008" t="s">
        <v>701</v>
      </c>
      <c r="B53" s="3048"/>
      <c r="C53" s="1492" t="s">
        <v>702</v>
      </c>
      <c r="D53" s="3049" t="s">
        <v>703</v>
      </c>
      <c r="E53" s="2990"/>
      <c r="F53" s="2990"/>
      <c r="G53" s="2990"/>
      <c r="H53" s="2990"/>
      <c r="I53" s="2990"/>
      <c r="J53" s="2990"/>
      <c r="K53" s="3079"/>
      <c r="L53" s="3079"/>
      <c r="M53" s="2406"/>
      <c r="N53" s="2406"/>
      <c r="O53" s="2406"/>
      <c r="P53" s="2406"/>
      <c r="Q53" s="2406"/>
      <c r="R53" s="2406"/>
      <c r="S53" s="2406"/>
      <c r="T53" s="2406"/>
      <c r="U53" s="2406"/>
      <c r="V53" s="2406"/>
      <c r="W53" s="2406"/>
      <c r="X53" s="2406"/>
      <c r="Y53" s="2406"/>
      <c r="Z53" s="2406"/>
      <c r="AA53" s="2406"/>
      <c r="AB53" s="2406"/>
      <c r="AC53" s="2406"/>
      <c r="AD53" s="2406"/>
      <c r="AE53" s="2406"/>
      <c r="AF53" s="2406"/>
      <c r="AG53" s="2406"/>
      <c r="AH53" s="2406"/>
      <c r="AI53" s="2406"/>
      <c r="AJ53" s="2406"/>
      <c r="AK53" s="2406"/>
      <c r="AL53" s="2406"/>
      <c r="AM53" s="2406"/>
      <c r="AN53" s="2406"/>
      <c r="AO53" s="2406"/>
      <c r="AP53" s="2406"/>
      <c r="AQ53" s="2406"/>
      <c r="AR53" s="2406"/>
    </row>
    <row r="54" ht="14.25" spans="1:44">
      <c r="A54" s="3050" t="s">
        <v>704</v>
      </c>
      <c r="B54" s="3051"/>
      <c r="C54" s="1492">
        <v>30</v>
      </c>
      <c r="D54" s="2991"/>
      <c r="E54" s="2990"/>
      <c r="F54" s="2990"/>
      <c r="G54" s="2990"/>
      <c r="H54" s="2990"/>
      <c r="I54" s="2990"/>
      <c r="J54" s="2990"/>
      <c r="K54" s="3079"/>
      <c r="L54" s="3079"/>
      <c r="M54" s="2406"/>
      <c r="N54" s="2406"/>
      <c r="O54" s="2406"/>
      <c r="P54" s="2406"/>
      <c r="Q54" s="2406"/>
      <c r="R54" s="2406"/>
      <c r="S54" s="2406"/>
      <c r="T54" s="2406"/>
      <c r="U54" s="2406"/>
      <c r="V54" s="2406"/>
      <c r="W54" s="2406"/>
      <c r="X54" s="2406"/>
      <c r="Y54" s="2406"/>
      <c r="Z54" s="2406"/>
      <c r="AA54" s="2406"/>
      <c r="AB54" s="2406"/>
      <c r="AC54" s="2406"/>
      <c r="AD54" s="2406"/>
      <c r="AE54" s="2406"/>
      <c r="AF54" s="2406"/>
      <c r="AG54" s="2406"/>
      <c r="AH54" s="2406"/>
      <c r="AI54" s="2406"/>
      <c r="AJ54" s="2406"/>
      <c r="AK54" s="2406"/>
      <c r="AL54" s="2406"/>
      <c r="AM54" s="2406"/>
      <c r="AN54" s="2406"/>
      <c r="AO54" s="2406"/>
      <c r="AP54" s="2406"/>
      <c r="AQ54" s="2406"/>
      <c r="AR54" s="2406"/>
    </row>
    <row r="55" ht="14.25" spans="1:44">
      <c r="A55" s="3050" t="s">
        <v>705</v>
      </c>
      <c r="B55" s="3051"/>
      <c r="C55" s="1492">
        <v>24</v>
      </c>
      <c r="D55" s="2991"/>
      <c r="E55" s="2990"/>
      <c r="F55" s="2990"/>
      <c r="G55" s="2990"/>
      <c r="H55" s="2990"/>
      <c r="I55" s="3080"/>
      <c r="J55" s="2990"/>
      <c r="K55" s="3079"/>
      <c r="L55" s="3079"/>
      <c r="M55" s="2406"/>
      <c r="N55" s="2406"/>
      <c r="O55" s="2406"/>
      <c r="P55" s="2406"/>
      <c r="Q55" s="2406"/>
      <c r="R55" s="2406"/>
      <c r="S55" s="2406"/>
      <c r="T55" s="2406"/>
      <c r="U55" s="2406"/>
      <c r="V55" s="2406"/>
      <c r="W55" s="2406"/>
      <c r="X55" s="2406"/>
      <c r="Y55" s="2406"/>
      <c r="Z55" s="2406"/>
      <c r="AA55" s="2406"/>
      <c r="AB55" s="2406"/>
      <c r="AC55" s="2406"/>
      <c r="AD55" s="2406"/>
      <c r="AE55" s="2406"/>
      <c r="AF55" s="2406"/>
      <c r="AG55" s="2406"/>
      <c r="AH55" s="2406"/>
      <c r="AI55" s="2406"/>
      <c r="AJ55" s="2406"/>
      <c r="AK55" s="2406"/>
      <c r="AL55" s="2406"/>
      <c r="AM55" s="2406"/>
      <c r="AN55" s="2406"/>
      <c r="AO55" s="2406"/>
      <c r="AP55" s="2406"/>
      <c r="AQ55" s="2406"/>
      <c r="AR55" s="2406"/>
    </row>
    <row r="56" ht="14.25" spans="1:44">
      <c r="A56" s="3050" t="s">
        <v>706</v>
      </c>
      <c r="B56" s="3051"/>
      <c r="C56" s="1492">
        <v>18</v>
      </c>
      <c r="D56" s="2991"/>
      <c r="E56" s="2990"/>
      <c r="F56" s="2990"/>
      <c r="G56" s="2990"/>
      <c r="H56" s="2990"/>
      <c r="I56" s="2990"/>
      <c r="J56" s="2990"/>
      <c r="K56" s="3079"/>
      <c r="L56" s="3079"/>
      <c r="M56" s="2406"/>
      <c r="N56" s="2406"/>
      <c r="O56" s="2406"/>
      <c r="P56" s="2406"/>
      <c r="Q56" s="2406"/>
      <c r="R56" s="2406"/>
      <c r="S56" s="2406"/>
      <c r="T56" s="2406"/>
      <c r="U56" s="2406"/>
      <c r="V56" s="2406"/>
      <c r="W56" s="2406"/>
      <c r="X56" s="2406"/>
      <c r="Y56" s="2406"/>
      <c r="Z56" s="2406"/>
      <c r="AA56" s="2406"/>
      <c r="AB56" s="2406"/>
      <c r="AC56" s="2406"/>
      <c r="AD56" s="2406"/>
      <c r="AE56" s="2406"/>
      <c r="AF56" s="2406"/>
      <c r="AG56" s="2406"/>
      <c r="AH56" s="2406"/>
      <c r="AI56" s="2406"/>
      <c r="AJ56" s="2406"/>
      <c r="AK56" s="2406"/>
      <c r="AL56" s="2406"/>
      <c r="AM56" s="2406"/>
      <c r="AN56" s="2406"/>
      <c r="AO56" s="2406"/>
      <c r="AP56" s="2406"/>
      <c r="AQ56" s="2406"/>
      <c r="AR56" s="2406"/>
    </row>
    <row r="57" ht="14.25" spans="1:44">
      <c r="A57" s="3050" t="s">
        <v>707</v>
      </c>
      <c r="B57" s="3051"/>
      <c r="C57" s="1492">
        <v>12</v>
      </c>
      <c r="D57" s="2991"/>
      <c r="E57" s="2990"/>
      <c r="F57" s="2990"/>
      <c r="G57" s="2990"/>
      <c r="H57" s="2990"/>
      <c r="I57" s="2990"/>
      <c r="J57" s="2990"/>
      <c r="K57" s="3079"/>
      <c r="L57" s="3079"/>
      <c r="M57" s="2406"/>
      <c r="N57" s="2406"/>
      <c r="O57" s="2406"/>
      <c r="P57" s="2406"/>
      <c r="Q57" s="2406"/>
      <c r="R57" s="2406"/>
      <c r="S57" s="2406"/>
      <c r="T57" s="2406"/>
      <c r="U57" s="2406"/>
      <c r="V57" s="2406"/>
      <c r="W57" s="2406"/>
      <c r="X57" s="2406"/>
      <c r="Y57" s="2406"/>
      <c r="Z57" s="2406"/>
      <c r="AA57" s="2406"/>
      <c r="AB57" s="2406"/>
      <c r="AC57" s="2406"/>
      <c r="AD57" s="2406"/>
      <c r="AE57" s="2406"/>
      <c r="AF57" s="2406"/>
      <c r="AG57" s="2406"/>
      <c r="AH57" s="2406"/>
      <c r="AI57" s="2406"/>
      <c r="AJ57" s="2406"/>
      <c r="AK57" s="2406"/>
      <c r="AL57" s="2406"/>
      <c r="AM57" s="2406"/>
      <c r="AN57" s="2406"/>
      <c r="AO57" s="2406"/>
      <c r="AP57" s="2406"/>
      <c r="AQ57" s="2406"/>
      <c r="AR57" s="2406"/>
    </row>
    <row r="58" ht="14.25" spans="1:44">
      <c r="A58" s="3050" t="s">
        <v>708</v>
      </c>
      <c r="B58" s="3051"/>
      <c r="C58" s="1492">
        <v>3</v>
      </c>
      <c r="D58" s="2991"/>
      <c r="E58" s="2990"/>
      <c r="F58" s="2990"/>
      <c r="G58" s="2990"/>
      <c r="H58" s="2990"/>
      <c r="I58" s="2990"/>
      <c r="J58" s="2990"/>
      <c r="K58" s="3079"/>
      <c r="L58" s="3079"/>
      <c r="M58" s="2406"/>
      <c r="N58" s="2406"/>
      <c r="O58" s="2406"/>
      <c r="P58" s="2406"/>
      <c r="Q58" s="2406"/>
      <c r="R58" s="2406"/>
      <c r="S58" s="2406"/>
      <c r="T58" s="2406"/>
      <c r="U58" s="2406"/>
      <c r="V58" s="2406"/>
      <c r="W58" s="2406"/>
      <c r="X58" s="2406"/>
      <c r="Y58" s="2406"/>
      <c r="Z58" s="2406"/>
      <c r="AA58" s="2406"/>
      <c r="AB58" s="2406"/>
      <c r="AC58" s="2406"/>
      <c r="AD58" s="2406"/>
      <c r="AE58" s="2406"/>
      <c r="AF58" s="2406"/>
      <c r="AG58" s="2406"/>
      <c r="AH58" s="2406"/>
      <c r="AI58" s="2406"/>
      <c r="AJ58" s="2406"/>
      <c r="AK58" s="2406"/>
      <c r="AL58" s="2406"/>
      <c r="AM58" s="2406"/>
      <c r="AN58" s="2406"/>
      <c r="AO58" s="2406"/>
      <c r="AP58" s="2406"/>
      <c r="AQ58" s="2406"/>
      <c r="AR58" s="2406"/>
    </row>
    <row r="59" ht="14.25" spans="1:44">
      <c r="A59" s="3050" t="s">
        <v>709</v>
      </c>
      <c r="B59" s="3051"/>
      <c r="C59" s="1492">
        <v>1.5</v>
      </c>
      <c r="D59" s="2991"/>
      <c r="E59" s="2990"/>
      <c r="F59" s="2990"/>
      <c r="G59" s="2990"/>
      <c r="H59" s="2990"/>
      <c r="I59" s="2990"/>
      <c r="J59" s="2990"/>
      <c r="K59" s="3079"/>
      <c r="L59" s="3079"/>
      <c r="M59" s="2406"/>
      <c r="N59" s="2406"/>
      <c r="O59" s="2406"/>
      <c r="P59" s="2406"/>
      <c r="Q59" s="2406"/>
      <c r="R59" s="2406"/>
      <c r="S59" s="2406"/>
      <c r="T59" s="2406"/>
      <c r="U59" s="2406"/>
      <c r="V59" s="2406"/>
      <c r="W59" s="2406"/>
      <c r="X59" s="2406"/>
      <c r="Y59" s="2406"/>
      <c r="Z59" s="2406"/>
      <c r="AA59" s="2406"/>
      <c r="AB59" s="2406"/>
      <c r="AC59" s="2406"/>
      <c r="AD59" s="2406"/>
      <c r="AE59" s="2406"/>
      <c r="AF59" s="2406"/>
      <c r="AG59" s="2406"/>
      <c r="AH59" s="2406"/>
      <c r="AI59" s="2406"/>
      <c r="AJ59" s="2406"/>
      <c r="AK59" s="2406"/>
      <c r="AL59" s="2406"/>
      <c r="AM59" s="2406"/>
      <c r="AN59" s="2406"/>
      <c r="AO59" s="2406"/>
      <c r="AP59" s="2406"/>
      <c r="AQ59" s="2406"/>
      <c r="AR59" s="2406"/>
    </row>
    <row r="60" ht="14.25" spans="1:44">
      <c r="A60" s="3050" t="s">
        <v>710</v>
      </c>
      <c r="B60" s="3051"/>
      <c r="C60" s="2990"/>
      <c r="D60" s="2991"/>
      <c r="E60" s="2990"/>
      <c r="F60" s="2990"/>
      <c r="G60" s="2990"/>
      <c r="H60" s="2990"/>
      <c r="I60" s="2990"/>
      <c r="J60" s="2990"/>
      <c r="K60" s="3079"/>
      <c r="L60" s="3079"/>
      <c r="M60" s="2406"/>
      <c r="N60" s="2406"/>
      <c r="O60" s="2406"/>
      <c r="P60" s="2406"/>
      <c r="Q60" s="2406"/>
      <c r="R60" s="2406"/>
      <c r="S60" s="2406"/>
      <c r="T60" s="2406"/>
      <c r="U60" s="2406"/>
      <c r="V60" s="2406"/>
      <c r="W60" s="2406"/>
      <c r="X60" s="2406"/>
      <c r="Y60" s="2406"/>
      <c r="Z60" s="2406"/>
      <c r="AA60" s="2406"/>
      <c r="AB60" s="2406"/>
      <c r="AC60" s="2406"/>
      <c r="AD60" s="2406"/>
      <c r="AE60" s="2406"/>
      <c r="AF60" s="2406"/>
      <c r="AG60" s="2406"/>
      <c r="AH60" s="2406"/>
      <c r="AI60" s="2406"/>
      <c r="AJ60" s="2406"/>
      <c r="AK60" s="2406"/>
      <c r="AL60" s="2406"/>
      <c r="AM60" s="2406"/>
      <c r="AN60" s="2406"/>
      <c r="AO60" s="2406"/>
      <c r="AP60" s="2406"/>
      <c r="AQ60" s="2406"/>
      <c r="AR60" s="2406"/>
    </row>
    <row r="61" ht="14.25" spans="1:44">
      <c r="A61" s="3050" t="s">
        <v>711</v>
      </c>
      <c r="B61" s="3051"/>
      <c r="C61" s="2990"/>
      <c r="D61" s="2991"/>
      <c r="E61" s="2990"/>
      <c r="F61" s="2990"/>
      <c r="G61" s="2990"/>
      <c r="H61" s="2990"/>
      <c r="I61" s="2990"/>
      <c r="J61" s="2990"/>
      <c r="K61" s="3079"/>
      <c r="L61" s="3079"/>
      <c r="M61" s="2406"/>
      <c r="N61" s="2406"/>
      <c r="O61" s="2406"/>
      <c r="P61" s="2406"/>
      <c r="Q61" s="2406"/>
      <c r="R61" s="2406"/>
      <c r="S61" s="2406"/>
      <c r="T61" s="2406"/>
      <c r="U61" s="2406"/>
      <c r="V61" s="2406"/>
      <c r="W61" s="2406"/>
      <c r="X61" s="2406"/>
      <c r="Y61" s="2406"/>
      <c r="Z61" s="2406"/>
      <c r="AA61" s="2406"/>
      <c r="AB61" s="2406"/>
      <c r="AC61" s="2406"/>
      <c r="AD61" s="2406"/>
      <c r="AE61" s="2406"/>
      <c r="AF61" s="2406"/>
      <c r="AG61" s="2406"/>
      <c r="AH61" s="2406"/>
      <c r="AI61" s="2406"/>
      <c r="AJ61" s="2406"/>
      <c r="AK61" s="2406"/>
      <c r="AL61" s="2406"/>
      <c r="AM61" s="2406"/>
      <c r="AN61" s="2406"/>
      <c r="AO61" s="2406"/>
      <c r="AP61" s="2406"/>
      <c r="AQ61" s="2406"/>
      <c r="AR61" s="2406"/>
    </row>
    <row r="62" ht="14.25" spans="1:44">
      <c r="A62" s="3050" t="s">
        <v>712</v>
      </c>
      <c r="B62" s="3051"/>
      <c r="C62" s="2990"/>
      <c r="D62" s="2991"/>
      <c r="E62" s="2990"/>
      <c r="F62" s="2990"/>
      <c r="G62" s="2990"/>
      <c r="H62" s="2990"/>
      <c r="I62" s="2990"/>
      <c r="J62" s="2990"/>
      <c r="K62" s="3079"/>
      <c r="L62" s="3079"/>
      <c r="M62" s="2406"/>
      <c r="N62" s="2406"/>
      <c r="O62" s="2406"/>
      <c r="P62" s="2406"/>
      <c r="Q62" s="2406"/>
      <c r="R62" s="2406"/>
      <c r="S62" s="2406"/>
      <c r="T62" s="2406"/>
      <c r="U62" s="2406"/>
      <c r="V62" s="2406"/>
      <c r="W62" s="2406"/>
      <c r="X62" s="2406"/>
      <c r="Y62" s="2406"/>
      <c r="Z62" s="2406"/>
      <c r="AA62" s="2406"/>
      <c r="AB62" s="2406"/>
      <c r="AC62" s="2406"/>
      <c r="AD62" s="2406"/>
      <c r="AE62" s="2406"/>
      <c r="AF62" s="2406"/>
      <c r="AG62" s="2406"/>
      <c r="AH62" s="2406"/>
      <c r="AI62" s="2406"/>
      <c r="AJ62" s="2406"/>
      <c r="AK62" s="2406"/>
      <c r="AL62" s="2406"/>
      <c r="AM62" s="2406"/>
      <c r="AN62" s="2406"/>
      <c r="AO62" s="2406"/>
      <c r="AP62" s="2406"/>
      <c r="AQ62" s="2406"/>
      <c r="AR62" s="2406"/>
    </row>
    <row r="63" ht="15" spans="1:44">
      <c r="A63" s="3052" t="s">
        <v>713</v>
      </c>
      <c r="B63" s="3053"/>
      <c r="C63" s="2990"/>
      <c r="D63" s="2991"/>
      <c r="E63" s="2990"/>
      <c r="F63" s="2990"/>
      <c r="G63" s="2990"/>
      <c r="H63" s="2990"/>
      <c r="I63" s="2990"/>
      <c r="J63" s="2990"/>
      <c r="K63" s="3079"/>
      <c r="L63" s="3079"/>
      <c r="M63" s="2406"/>
      <c r="N63" s="2406"/>
      <c r="O63" s="2406"/>
      <c r="P63" s="2406"/>
      <c r="Q63" s="2406"/>
      <c r="R63" s="2406"/>
      <c r="S63" s="2406"/>
      <c r="T63" s="2406"/>
      <c r="U63" s="2406"/>
      <c r="V63" s="2406"/>
      <c r="W63" s="2406"/>
      <c r="X63" s="2406"/>
      <c r="Y63" s="2406"/>
      <c r="Z63" s="2406"/>
      <c r="AA63" s="2406"/>
      <c r="AB63" s="2406"/>
      <c r="AC63" s="2406"/>
      <c r="AD63" s="2406"/>
      <c r="AE63" s="2406"/>
      <c r="AF63" s="2406"/>
      <c r="AG63" s="2406"/>
      <c r="AH63" s="2406"/>
      <c r="AI63" s="2406"/>
      <c r="AJ63" s="2406"/>
      <c r="AK63" s="2406"/>
      <c r="AL63" s="2406"/>
      <c r="AM63" s="2406"/>
      <c r="AN63" s="2406"/>
      <c r="AO63" s="2406"/>
      <c r="AP63" s="2406"/>
      <c r="AQ63" s="2406"/>
      <c r="AR63" s="2406"/>
    </row>
    <row r="64" s="2478" customFormat="1" spans="1:44">
      <c r="A64" s="3054"/>
      <c r="B64" s="2406"/>
      <c r="C64" s="2406"/>
      <c r="D64" s="2988"/>
      <c r="E64" s="2406"/>
      <c r="F64" s="2406"/>
      <c r="G64" s="2406"/>
      <c r="H64" s="2406"/>
      <c r="I64" s="2406"/>
      <c r="J64" s="2406"/>
      <c r="K64" s="3079"/>
      <c r="L64" s="3079"/>
      <c r="M64" s="2406"/>
      <c r="N64" s="2406"/>
      <c r="O64" s="2406"/>
      <c r="P64" s="2406"/>
      <c r="Q64" s="2406"/>
      <c r="R64" s="2406"/>
      <c r="S64" s="2406"/>
      <c r="T64" s="2406"/>
      <c r="U64" s="2406"/>
      <c r="V64" s="2406"/>
      <c r="W64" s="2406"/>
      <c r="X64" s="2406"/>
      <c r="Y64" s="2406"/>
      <c r="Z64" s="2406"/>
      <c r="AA64" s="2406"/>
      <c r="AB64" s="2406"/>
      <c r="AC64" s="2406"/>
      <c r="AD64" s="2406"/>
      <c r="AE64" s="2406"/>
      <c r="AF64" s="2406"/>
      <c r="AG64" s="2406"/>
      <c r="AH64" s="2406"/>
      <c r="AI64" s="2406"/>
      <c r="AJ64" s="2406"/>
      <c r="AK64" s="2406"/>
      <c r="AL64" s="2406"/>
      <c r="AM64" s="2406"/>
      <c r="AN64" s="2406"/>
      <c r="AO64" s="2406"/>
      <c r="AP64" s="2406"/>
      <c r="AQ64" s="2406"/>
      <c r="AR64" s="2406"/>
    </row>
    <row r="65" s="2478" customFormat="1" spans="1:44">
      <c r="A65" s="3054"/>
      <c r="B65" s="2406"/>
      <c r="C65" s="2406"/>
      <c r="D65" s="2988"/>
      <c r="E65" s="2406"/>
      <c r="F65" s="2406"/>
      <c r="G65" s="2406"/>
      <c r="H65" s="2406"/>
      <c r="I65" s="2406"/>
      <c r="J65" s="2406"/>
      <c r="K65" s="3079"/>
      <c r="L65" s="3079"/>
      <c r="M65" s="2406"/>
      <c r="N65" s="2406"/>
      <c r="O65" s="2406"/>
      <c r="P65" s="2406"/>
      <c r="Q65" s="2406"/>
      <c r="R65" s="2406"/>
      <c r="S65" s="2406"/>
      <c r="T65" s="2406"/>
      <c r="U65" s="2406"/>
      <c r="V65" s="2406"/>
      <c r="W65" s="2406"/>
      <c r="X65" s="2406"/>
      <c r="Y65" s="2406"/>
      <c r="Z65" s="2406"/>
      <c r="AA65" s="2406"/>
      <c r="AB65" s="2406"/>
      <c r="AC65" s="2406"/>
      <c r="AD65" s="2406"/>
      <c r="AE65" s="2406"/>
      <c r="AF65" s="2406"/>
      <c r="AG65" s="2406"/>
      <c r="AH65" s="2406"/>
      <c r="AI65" s="2406"/>
      <c r="AJ65" s="2406"/>
      <c r="AK65" s="2406"/>
      <c r="AL65" s="2406"/>
      <c r="AM65" s="2406"/>
      <c r="AN65" s="2406"/>
      <c r="AO65" s="2406"/>
      <c r="AP65" s="2406"/>
      <c r="AQ65" s="2406"/>
      <c r="AR65" s="2406"/>
    </row>
    <row r="66" s="2478" customFormat="1" spans="1:44">
      <c r="A66" s="3054"/>
      <c r="B66" s="2406"/>
      <c r="C66" s="2406"/>
      <c r="D66" s="2988"/>
      <c r="E66" s="2406"/>
      <c r="F66" s="2406"/>
      <c r="G66" s="2406"/>
      <c r="H66" s="2406"/>
      <c r="I66" s="2406"/>
      <c r="J66" s="2406"/>
      <c r="K66" s="3079"/>
      <c r="L66" s="3079"/>
      <c r="M66" s="2406"/>
      <c r="N66" s="2406"/>
      <c r="O66" s="2406"/>
      <c r="P66" s="2406"/>
      <c r="Q66" s="2406"/>
      <c r="R66" s="2406"/>
      <c r="S66" s="2406"/>
      <c r="T66" s="2406"/>
      <c r="U66" s="2406"/>
      <c r="V66" s="2406"/>
      <c r="W66" s="2406"/>
      <c r="X66" s="2406"/>
      <c r="Y66" s="2406"/>
      <c r="Z66" s="2406"/>
      <c r="AA66" s="2406"/>
      <c r="AB66" s="2406"/>
      <c r="AC66" s="2406"/>
      <c r="AD66" s="2406"/>
      <c r="AE66" s="2406"/>
      <c r="AF66" s="2406"/>
      <c r="AG66" s="2406"/>
      <c r="AH66" s="2406"/>
      <c r="AI66" s="2406"/>
      <c r="AJ66" s="2406"/>
      <c r="AK66" s="2406"/>
      <c r="AL66" s="2406"/>
      <c r="AM66" s="2406"/>
      <c r="AN66" s="2406"/>
      <c r="AO66" s="2406"/>
      <c r="AP66" s="2406"/>
      <c r="AQ66" s="2406"/>
      <c r="AR66" s="2406"/>
    </row>
    <row r="67" s="2478" customFormat="1" spans="1:44">
      <c r="A67" s="3054"/>
      <c r="B67" s="2406"/>
      <c r="C67" s="2406"/>
      <c r="D67" s="2988"/>
      <c r="E67" s="2406"/>
      <c r="F67" s="2406"/>
      <c r="G67" s="2406"/>
      <c r="H67" s="2406"/>
      <c r="I67" s="2406"/>
      <c r="J67" s="2406"/>
      <c r="K67" s="3079"/>
      <c r="L67" s="3079"/>
      <c r="M67" s="2406"/>
      <c r="N67" s="2406"/>
      <c r="O67" s="2406"/>
      <c r="P67" s="2406"/>
      <c r="Q67" s="2406"/>
      <c r="R67" s="2406"/>
      <c r="S67" s="2406"/>
      <c r="T67" s="2406"/>
      <c r="U67" s="2406"/>
      <c r="V67" s="2406"/>
      <c r="W67" s="2406"/>
      <c r="X67" s="2406"/>
      <c r="Y67" s="2406"/>
      <c r="Z67" s="2406"/>
      <c r="AA67" s="2406"/>
      <c r="AB67" s="2406"/>
      <c r="AC67" s="2406"/>
      <c r="AD67" s="2406"/>
      <c r="AE67" s="2406"/>
      <c r="AF67" s="2406"/>
      <c r="AG67" s="2406"/>
      <c r="AH67" s="2406"/>
      <c r="AI67" s="2406"/>
      <c r="AJ67" s="2406"/>
      <c r="AK67" s="2406"/>
      <c r="AL67" s="2406"/>
      <c r="AM67" s="2406"/>
      <c r="AN67" s="2406"/>
      <c r="AO67" s="2406"/>
      <c r="AP67" s="2406"/>
      <c r="AQ67" s="2406"/>
      <c r="AR67" s="2406"/>
    </row>
    <row r="68" s="2478" customFormat="1" spans="1:44">
      <c r="A68" s="3054"/>
      <c r="B68" s="2406"/>
      <c r="C68" s="2406"/>
      <c r="D68" s="2988"/>
      <c r="E68" s="2406"/>
      <c r="F68" s="2406"/>
      <c r="G68" s="2406"/>
      <c r="H68" s="2406"/>
      <c r="I68" s="2406"/>
      <c r="J68" s="2406"/>
      <c r="K68" s="3079"/>
      <c r="L68" s="3079"/>
      <c r="M68" s="2406"/>
      <c r="N68" s="2406"/>
      <c r="O68" s="2406"/>
      <c r="P68" s="2406"/>
      <c r="Q68" s="2406"/>
      <c r="R68" s="2406"/>
      <c r="S68" s="2406"/>
      <c r="T68" s="2406"/>
      <c r="U68" s="2406"/>
      <c r="V68" s="2406"/>
      <c r="W68" s="2406"/>
      <c r="X68" s="2406"/>
      <c r="Y68" s="2406"/>
      <c r="Z68" s="2406"/>
      <c r="AA68" s="2406"/>
      <c r="AB68" s="2406"/>
      <c r="AC68" s="2406"/>
      <c r="AD68" s="2406"/>
      <c r="AE68" s="2406"/>
      <c r="AF68" s="2406"/>
      <c r="AG68" s="2406"/>
      <c r="AH68" s="2406"/>
      <c r="AI68" s="2406"/>
      <c r="AJ68" s="2406"/>
      <c r="AK68" s="2406"/>
      <c r="AL68" s="2406"/>
      <c r="AM68" s="2406"/>
      <c r="AN68" s="2406"/>
      <c r="AO68" s="2406"/>
      <c r="AP68" s="2406"/>
      <c r="AQ68" s="2406"/>
      <c r="AR68" s="2406"/>
    </row>
    <row r="69" s="2478" customFormat="1" spans="1:12">
      <c r="A69" s="2850"/>
      <c r="D69" s="3145"/>
      <c r="K69" s="1090"/>
      <c r="L69" s="1090"/>
    </row>
    <row r="70" s="2478" customFormat="1" spans="1:12">
      <c r="A70" s="2850"/>
      <c r="D70" s="3145"/>
      <c r="K70" s="1090"/>
      <c r="L70" s="1090"/>
    </row>
    <row r="71" s="2478" customFormat="1" spans="1:12">
      <c r="A71" s="2850"/>
      <c r="D71" s="3145"/>
      <c r="K71" s="1090"/>
      <c r="L71" s="1090"/>
    </row>
    <row r="72" s="2478" customFormat="1" spans="1:12">
      <c r="A72" s="2850"/>
      <c r="D72" s="3145"/>
      <c r="K72" s="1090"/>
      <c r="L72" s="1090"/>
    </row>
    <row r="73" s="2478" customFormat="1" spans="1:12">
      <c r="A73" s="2850"/>
      <c r="D73" s="3145"/>
      <c r="K73" s="1090"/>
      <c r="L73" s="1090"/>
    </row>
    <row r="74" s="2478" customFormat="1" spans="1:12">
      <c r="A74" s="2850"/>
      <c r="D74" s="3145"/>
      <c r="K74" s="1090"/>
      <c r="L74" s="1090"/>
    </row>
    <row r="75" s="2478" customFormat="1" spans="1:12">
      <c r="A75" s="2850"/>
      <c r="D75" s="3145"/>
      <c r="K75" s="1090"/>
      <c r="L75" s="1090"/>
    </row>
    <row r="76" s="2478" customFormat="1" spans="1:12">
      <c r="A76" s="2850"/>
      <c r="D76" s="3145"/>
      <c r="K76" s="1090"/>
      <c r="L76" s="1090"/>
    </row>
    <row r="77" s="2478" customFormat="1" spans="1:12">
      <c r="A77" s="2850"/>
      <c r="D77" s="3145"/>
      <c r="K77" s="1090"/>
      <c r="L77" s="1090"/>
    </row>
    <row r="78" s="2478" customFormat="1" spans="1:12">
      <c r="A78" s="2850"/>
      <c r="D78" s="3145"/>
      <c r="K78" s="1090"/>
      <c r="L78" s="1090"/>
    </row>
    <row r="79" s="2478" customFormat="1" spans="1:12">
      <c r="A79" s="2850"/>
      <c r="D79" s="3145"/>
      <c r="K79" s="1090"/>
      <c r="L79" s="1090"/>
    </row>
    <row r="80" s="2478" customFormat="1" spans="1:12">
      <c r="A80" s="2850"/>
      <c r="D80" s="3145"/>
      <c r="K80" s="1090"/>
      <c r="L80" s="1090"/>
    </row>
    <row r="81" s="2478" customFormat="1" spans="1:12">
      <c r="A81" s="2850"/>
      <c r="D81" s="3145"/>
      <c r="K81" s="1090"/>
      <c r="L81" s="1090"/>
    </row>
    <row r="82" s="2478" customFormat="1" spans="1:12">
      <c r="A82" s="2850"/>
      <c r="D82" s="3145"/>
      <c r="K82" s="1090"/>
      <c r="L82" s="1090"/>
    </row>
    <row r="83" s="2478" customFormat="1" spans="1:12">
      <c r="A83" s="2850"/>
      <c r="D83" s="3145"/>
      <c r="K83" s="1090"/>
      <c r="L83" s="1090"/>
    </row>
    <row r="84" s="2478" customFormat="1" spans="1:12">
      <c r="A84" s="2850"/>
      <c r="D84" s="3145"/>
      <c r="K84" s="1090"/>
      <c r="L84" s="1090"/>
    </row>
    <row r="85" s="2478" customFormat="1" spans="1:12">
      <c r="A85" s="2850"/>
      <c r="D85" s="3145"/>
      <c r="K85" s="1090"/>
      <c r="L85" s="1090"/>
    </row>
    <row r="86" s="2478" customFormat="1" spans="1:12">
      <c r="A86" s="2850"/>
      <c r="D86" s="3145"/>
      <c r="K86" s="1090"/>
      <c r="L86" s="1090"/>
    </row>
    <row r="87" s="2478" customFormat="1" spans="1:12">
      <c r="A87" s="2850"/>
      <c r="D87" s="3145"/>
      <c r="K87" s="1090"/>
      <c r="L87" s="1090"/>
    </row>
    <row r="88" s="2478" customFormat="1" spans="1:12">
      <c r="A88" s="2850"/>
      <c r="D88" s="3145"/>
      <c r="K88" s="1090"/>
      <c r="L88" s="1090"/>
    </row>
    <row r="89" s="2478" customFormat="1" spans="1:12">
      <c r="A89" s="2850"/>
      <c r="D89" s="3145"/>
      <c r="K89" s="1090"/>
      <c r="L89" s="1090"/>
    </row>
    <row r="90" s="2478" customFormat="1" spans="1:12">
      <c r="A90" s="2850"/>
      <c r="D90" s="3145"/>
      <c r="K90" s="1090"/>
      <c r="L90" s="1090"/>
    </row>
    <row r="91" s="2478" customFormat="1" spans="1:12">
      <c r="A91" s="2850"/>
      <c r="D91" s="3145"/>
      <c r="K91" s="1090"/>
      <c r="L91" s="1090"/>
    </row>
    <row r="92" s="2478" customFormat="1" spans="1:12">
      <c r="A92" s="2850"/>
      <c r="D92" s="3145"/>
      <c r="K92" s="1090"/>
      <c r="L92" s="1090"/>
    </row>
    <row r="93" s="2478" customFormat="1" spans="1:12">
      <c r="A93" s="2850"/>
      <c r="D93" s="3145"/>
      <c r="K93" s="1090"/>
      <c r="L93" s="1090"/>
    </row>
    <row r="94" s="2478" customFormat="1" spans="1:12">
      <c r="A94" s="2850"/>
      <c r="D94" s="3145"/>
      <c r="K94" s="1090"/>
      <c r="L94" s="1090"/>
    </row>
    <row r="95" s="2478" customFormat="1" spans="1:12">
      <c r="A95" s="2850"/>
      <c r="D95" s="3145"/>
      <c r="K95" s="1090"/>
      <c r="L95" s="1090"/>
    </row>
    <row r="96" s="2478" customFormat="1" spans="1:12">
      <c r="A96" s="2850"/>
      <c r="D96" s="3145"/>
      <c r="K96" s="1090"/>
      <c r="L96" s="1090"/>
    </row>
    <row r="97" s="2478" customFormat="1" spans="1:12">
      <c r="A97" s="2850"/>
      <c r="D97" s="3145"/>
      <c r="K97" s="1090"/>
      <c r="L97" s="1090"/>
    </row>
    <row r="98" s="2478" customFormat="1" spans="1:12">
      <c r="A98" s="2850"/>
      <c r="D98" s="3145"/>
      <c r="K98" s="1090"/>
      <c r="L98" s="1090"/>
    </row>
    <row r="99" s="2478" customFormat="1" spans="1:12">
      <c r="A99" s="2850"/>
      <c r="D99" s="3145"/>
      <c r="K99" s="1090"/>
      <c r="L99" s="1090"/>
    </row>
    <row r="100" s="2478" customFormat="1" spans="1:12">
      <c r="A100" s="2850"/>
      <c r="D100" s="3145"/>
      <c r="K100" s="1090"/>
      <c r="L100" s="1090"/>
    </row>
    <row r="101" s="2478" customFormat="1" spans="1:12">
      <c r="A101" s="2850"/>
      <c r="D101" s="3145"/>
      <c r="K101" s="1090"/>
      <c r="L101" s="1090"/>
    </row>
    <row r="102" s="2478" customFormat="1" spans="1:12">
      <c r="A102" s="2850"/>
      <c r="D102" s="3145"/>
      <c r="K102" s="1090"/>
      <c r="L102" s="1090"/>
    </row>
    <row r="103" s="2478" customFormat="1" spans="1:12">
      <c r="A103" s="2850"/>
      <c r="D103" s="3145"/>
      <c r="K103" s="1090"/>
      <c r="L103" s="1090"/>
    </row>
    <row r="104" s="2478" customFormat="1" spans="1:12">
      <c r="A104" s="2850"/>
      <c r="D104" s="3145"/>
      <c r="K104" s="1090"/>
      <c r="L104" s="1090"/>
    </row>
    <row r="105" s="2478" customFormat="1" spans="1:12">
      <c r="A105" s="2850"/>
      <c r="D105" s="3145"/>
      <c r="K105" s="1090"/>
      <c r="L105" s="1090"/>
    </row>
    <row r="106" s="2478" customFormat="1" spans="1:12">
      <c r="A106" s="2850"/>
      <c r="D106" s="3145"/>
      <c r="K106" s="1090"/>
      <c r="L106" s="1090"/>
    </row>
    <row r="107" s="2478" customFormat="1" spans="1:12">
      <c r="A107" s="2850"/>
      <c r="D107" s="3145"/>
      <c r="K107" s="1090"/>
      <c r="L107" s="1090"/>
    </row>
    <row r="108" s="2478" customFormat="1" spans="1:12">
      <c r="A108" s="2850"/>
      <c r="D108" s="3145"/>
      <c r="K108" s="1090"/>
      <c r="L108" s="1090"/>
    </row>
    <row r="109" s="2478" customFormat="1" spans="1:12">
      <c r="A109" s="2850"/>
      <c r="D109" s="3145"/>
      <c r="K109" s="1090"/>
      <c r="L109" s="1090"/>
    </row>
    <row r="110" s="2478" customFormat="1" spans="1:12">
      <c r="A110" s="2850"/>
      <c r="D110" s="3145"/>
      <c r="K110" s="1090"/>
      <c r="L110" s="1090"/>
    </row>
    <row r="111" s="2478" customFormat="1" spans="1:12">
      <c r="A111" s="2850"/>
      <c r="D111" s="3145"/>
      <c r="K111" s="1090"/>
      <c r="L111" s="1090"/>
    </row>
    <row r="112" s="2478" customFormat="1" spans="1:12">
      <c r="A112" s="2850"/>
      <c r="D112" s="3145"/>
      <c r="K112" s="1090"/>
      <c r="L112" s="1090"/>
    </row>
    <row r="113" s="2478" customFormat="1" spans="1:12">
      <c r="A113" s="2850"/>
      <c r="D113" s="3145"/>
      <c r="K113" s="1090"/>
      <c r="L113" s="1090"/>
    </row>
    <row r="114" s="2478" customFormat="1" spans="1:12">
      <c r="A114" s="2850"/>
      <c r="D114" s="3145"/>
      <c r="K114" s="1090"/>
      <c r="L114" s="1090"/>
    </row>
    <row r="115" s="2478" customFormat="1" spans="1:12">
      <c r="A115" s="2850"/>
      <c r="D115" s="3145"/>
      <c r="K115" s="1090"/>
      <c r="L115" s="1090"/>
    </row>
    <row r="116" s="2478" customFormat="1" spans="1:12">
      <c r="A116" s="2850"/>
      <c r="D116" s="3145"/>
      <c r="K116" s="1090"/>
      <c r="L116" s="1090"/>
    </row>
    <row r="117" s="2478" customFormat="1" spans="1:12">
      <c r="A117" s="2850"/>
      <c r="D117" s="3145"/>
      <c r="K117" s="1090"/>
      <c r="L117" s="1090"/>
    </row>
    <row r="118" s="2478" customFormat="1" spans="1:12">
      <c r="A118" s="2850"/>
      <c r="D118" s="3145"/>
      <c r="K118" s="1090"/>
      <c r="L118" s="1090"/>
    </row>
    <row r="119" s="2478" customFormat="1" spans="1:12">
      <c r="A119" s="2850"/>
      <c r="D119" s="3145"/>
      <c r="K119" s="1090"/>
      <c r="L119" s="1090"/>
    </row>
    <row r="120" s="2478" customFormat="1" spans="1:12">
      <c r="A120" s="2850"/>
      <c r="D120" s="3145"/>
      <c r="K120" s="1090"/>
      <c r="L120" s="1090"/>
    </row>
    <row r="121" s="2478" customFormat="1" spans="1:12">
      <c r="A121" s="2850"/>
      <c r="D121" s="3145"/>
      <c r="K121" s="1090"/>
      <c r="L121" s="1090"/>
    </row>
    <row r="122" s="2478" customFormat="1" spans="1:12">
      <c r="A122" s="2850"/>
      <c r="D122" s="3145"/>
      <c r="K122" s="1090"/>
      <c r="L122" s="1090"/>
    </row>
    <row r="123" s="2478" customFormat="1" spans="1:12">
      <c r="A123" s="2850"/>
      <c r="D123" s="3145"/>
      <c r="K123" s="1090"/>
      <c r="L123" s="1090"/>
    </row>
    <row r="124" s="2478" customFormat="1" spans="1:12">
      <c r="A124" s="2850"/>
      <c r="D124" s="3145"/>
      <c r="K124" s="1090"/>
      <c r="L124" s="1090"/>
    </row>
    <row r="125" s="2478" customFormat="1" spans="1:12">
      <c r="A125" s="2850"/>
      <c r="D125" s="3145"/>
      <c r="K125" s="1090"/>
      <c r="L125" s="1090"/>
    </row>
    <row r="126" s="2478" customFormat="1" spans="1:12">
      <c r="A126" s="2850"/>
      <c r="D126" s="3145"/>
      <c r="K126" s="1090"/>
      <c r="L126" s="1090"/>
    </row>
    <row r="127" s="2478" customFormat="1" spans="1:12">
      <c r="A127" s="2850"/>
      <c r="D127" s="3145"/>
      <c r="K127" s="1090"/>
      <c r="L127" s="1090"/>
    </row>
    <row r="128" s="2478" customFormat="1" spans="1:12">
      <c r="A128" s="2850"/>
      <c r="D128" s="3145"/>
      <c r="K128" s="1090"/>
      <c r="L128" s="1090"/>
    </row>
    <row r="129" s="2478" customFormat="1" spans="1:12">
      <c r="A129" s="2850"/>
      <c r="D129" s="3145"/>
      <c r="K129" s="1090"/>
      <c r="L129" s="1090"/>
    </row>
    <row r="130" s="2478" customFormat="1" spans="1:12">
      <c r="A130" s="2850"/>
      <c r="D130" s="3145"/>
      <c r="K130" s="1090"/>
      <c r="L130" s="1090"/>
    </row>
    <row r="131" s="2478" customFormat="1" spans="1:12">
      <c r="A131" s="2850"/>
      <c r="D131" s="3145"/>
      <c r="K131" s="1090"/>
      <c r="L131" s="1090"/>
    </row>
    <row r="132" s="2478" customFormat="1" spans="1:12">
      <c r="A132" s="2850"/>
      <c r="D132" s="3145"/>
      <c r="K132" s="1090"/>
      <c r="L132" s="1090"/>
    </row>
    <row r="133" s="2478" customFormat="1" spans="1:12">
      <c r="A133" s="2850"/>
      <c r="D133" s="3145"/>
      <c r="K133" s="1090"/>
      <c r="L133" s="1090"/>
    </row>
    <row r="134" s="2947" customFormat="1" spans="1:12">
      <c r="A134" s="3146"/>
      <c r="D134" s="3147"/>
      <c r="K134" s="991"/>
      <c r="L134" s="991"/>
    </row>
    <row r="135" s="2947" customFormat="1" spans="1:12">
      <c r="A135" s="3146"/>
      <c r="D135" s="3147"/>
      <c r="K135" s="991"/>
      <c r="L135" s="991"/>
    </row>
    <row r="136" s="2947" customFormat="1" spans="1:12">
      <c r="A136" s="3146"/>
      <c r="D136" s="3147"/>
      <c r="K136" s="991"/>
      <c r="L136" s="991"/>
    </row>
    <row r="137" s="2947" customFormat="1" spans="1:12">
      <c r="A137" s="3146"/>
      <c r="D137" s="3147"/>
      <c r="K137" s="991"/>
      <c r="L137" s="991"/>
    </row>
    <row r="138" s="2947" customFormat="1" spans="1:12">
      <c r="A138" s="3146"/>
      <c r="D138" s="3147"/>
      <c r="K138" s="991"/>
      <c r="L138" s="991"/>
    </row>
    <row r="139" s="2947" customFormat="1" spans="1:12">
      <c r="A139" s="3146"/>
      <c r="D139" s="3147"/>
      <c r="K139" s="991"/>
      <c r="L139" s="991"/>
    </row>
    <row r="140" s="2947" customFormat="1" spans="1:12">
      <c r="A140" s="3146"/>
      <c r="D140" s="3147"/>
      <c r="K140" s="991"/>
      <c r="L140" s="991"/>
    </row>
    <row r="141" s="2947" customFormat="1" spans="1:12">
      <c r="A141" s="3146"/>
      <c r="D141" s="3147"/>
      <c r="K141" s="991"/>
      <c r="L141" s="991"/>
    </row>
    <row r="142" s="2947" customFormat="1" spans="1:12">
      <c r="A142" s="3146"/>
      <c r="D142" s="3147"/>
      <c r="K142" s="991"/>
      <c r="L142" s="991"/>
    </row>
    <row r="143" s="2947" customFormat="1" spans="1:12">
      <c r="A143" s="3146"/>
      <c r="D143" s="3147"/>
      <c r="K143" s="991"/>
      <c r="L143" s="991"/>
    </row>
    <row r="144" s="2947" customFormat="1" spans="1:12">
      <c r="A144" s="3146"/>
      <c r="D144" s="3147"/>
      <c r="K144" s="991"/>
      <c r="L144" s="991"/>
    </row>
    <row r="145" s="2947" customFormat="1" spans="1:12">
      <c r="A145" s="3146"/>
      <c r="D145" s="3147"/>
      <c r="K145" s="991"/>
      <c r="L145" s="991"/>
    </row>
    <row r="146" s="2947" customFormat="1" spans="1:12">
      <c r="A146" s="3146"/>
      <c r="D146" s="3147"/>
      <c r="K146" s="991"/>
      <c r="L146" s="991"/>
    </row>
    <row r="147" s="2947" customFormat="1" spans="1:12">
      <c r="A147" s="3146"/>
      <c r="D147" s="3147"/>
      <c r="K147" s="991"/>
      <c r="L147" s="991"/>
    </row>
    <row r="148" s="2947" customFormat="1" spans="1:12">
      <c r="A148" s="3146"/>
      <c r="D148" s="3147"/>
      <c r="K148" s="991"/>
      <c r="L148" s="991"/>
    </row>
    <row r="149" s="2947" customFormat="1" spans="1:12">
      <c r="A149" s="3146"/>
      <c r="D149" s="3147"/>
      <c r="K149" s="991"/>
      <c r="L149" s="991"/>
    </row>
    <row r="150" s="2947" customFormat="1" spans="1:12">
      <c r="A150" s="3146"/>
      <c r="D150" s="3147"/>
      <c r="K150" s="991"/>
      <c r="L150" s="991"/>
    </row>
    <row r="151" s="2947" customFormat="1" spans="1:12">
      <c r="A151" s="3146"/>
      <c r="D151" s="3147"/>
      <c r="K151" s="991"/>
      <c r="L151" s="991"/>
    </row>
    <row r="152" s="2947" customFormat="1" spans="1:12">
      <c r="A152" s="3146"/>
      <c r="D152" s="3147"/>
      <c r="K152" s="991"/>
      <c r="L152" s="991"/>
    </row>
    <row r="153" s="2947" customFormat="1" spans="1:12">
      <c r="A153" s="3146"/>
      <c r="D153" s="3147"/>
      <c r="K153" s="991"/>
      <c r="L153" s="991"/>
    </row>
    <row r="154" s="2947" customFormat="1" spans="1:12">
      <c r="A154" s="3146"/>
      <c r="D154" s="3147"/>
      <c r="K154" s="991"/>
      <c r="L154" s="991"/>
    </row>
    <row r="155" s="2947" customFormat="1" spans="1:12">
      <c r="A155" s="3146"/>
      <c r="D155" s="3147"/>
      <c r="K155" s="991"/>
      <c r="L155" s="991"/>
    </row>
    <row r="156" s="2947" customFormat="1" spans="1:12">
      <c r="A156" s="3146"/>
      <c r="D156" s="3147"/>
      <c r="K156" s="991"/>
      <c r="L156" s="991"/>
    </row>
    <row r="157" s="2947" customFormat="1" spans="1:12">
      <c r="A157" s="3146"/>
      <c r="D157" s="3147"/>
      <c r="K157" s="991"/>
      <c r="L157" s="991"/>
    </row>
    <row r="158" s="2947" customFormat="1" spans="1:12">
      <c r="A158" s="3146"/>
      <c r="D158" s="3147"/>
      <c r="K158" s="991"/>
      <c r="L158" s="991"/>
    </row>
    <row r="159" s="2947" customFormat="1" spans="1:12">
      <c r="A159" s="3146"/>
      <c r="D159" s="3147"/>
      <c r="K159" s="991"/>
      <c r="L159" s="991"/>
    </row>
    <row r="160" s="2947" customFormat="1" spans="1:12">
      <c r="A160" s="3146"/>
      <c r="D160" s="3147"/>
      <c r="K160" s="991"/>
      <c r="L160" s="991"/>
    </row>
    <row r="161" s="2947" customFormat="1" spans="1:12">
      <c r="A161" s="3146"/>
      <c r="D161" s="3147"/>
      <c r="K161" s="991"/>
      <c r="L161" s="991"/>
    </row>
    <row r="162" s="2947" customFormat="1" spans="1:12">
      <c r="A162" s="3146"/>
      <c r="D162" s="3147"/>
      <c r="K162" s="991"/>
      <c r="L162" s="991"/>
    </row>
    <row r="163" s="2947" customFormat="1" spans="1:12">
      <c r="A163" s="3146"/>
      <c r="D163" s="3147"/>
      <c r="K163" s="991"/>
      <c r="L163" s="991"/>
    </row>
    <row r="164" s="2947" customFormat="1" spans="1:12">
      <c r="A164" s="3146"/>
      <c r="D164" s="3147"/>
      <c r="K164" s="991"/>
      <c r="L164" s="991"/>
    </row>
    <row r="165" s="2947" customFormat="1" spans="1:12">
      <c r="A165" s="3146"/>
      <c r="D165" s="3147"/>
      <c r="K165" s="991"/>
      <c r="L165" s="991"/>
    </row>
    <row r="166" s="2947" customFormat="1" spans="1:12">
      <c r="A166" s="3146"/>
      <c r="D166" s="3147"/>
      <c r="K166" s="991"/>
      <c r="L166" s="991"/>
    </row>
    <row r="167" s="2947" customFormat="1" spans="1:12">
      <c r="A167" s="3146"/>
      <c r="D167" s="3147"/>
      <c r="K167" s="991"/>
      <c r="L167" s="991"/>
    </row>
    <row r="168" s="2947" customFormat="1" spans="1:12">
      <c r="A168" s="3146"/>
      <c r="D168" s="3147"/>
      <c r="K168" s="991"/>
      <c r="L168" s="991"/>
    </row>
    <row r="169" s="2947" customFormat="1" spans="1:12">
      <c r="A169" s="3146"/>
      <c r="D169" s="3147"/>
      <c r="K169" s="991"/>
      <c r="L169" s="991"/>
    </row>
    <row r="170" s="2947" customFormat="1" spans="1:12">
      <c r="A170" s="3146"/>
      <c r="D170" s="3147"/>
      <c r="K170" s="991"/>
      <c r="L170" s="991"/>
    </row>
    <row r="171" s="2947" customFormat="1" spans="1:12">
      <c r="A171" s="3146"/>
      <c r="D171" s="3147"/>
      <c r="K171" s="991"/>
      <c r="L171" s="991"/>
    </row>
    <row r="172" s="2947" customFormat="1" spans="1:12">
      <c r="A172" s="3146"/>
      <c r="D172" s="3147"/>
      <c r="K172" s="991"/>
      <c r="L172" s="991"/>
    </row>
    <row r="173" s="2947" customFormat="1" spans="1:12">
      <c r="A173" s="3146"/>
      <c r="D173" s="3147"/>
      <c r="K173" s="991"/>
      <c r="L173" s="991"/>
    </row>
    <row r="174" s="2947" customFormat="1" spans="1:12">
      <c r="A174" s="3146"/>
      <c r="D174" s="3147"/>
      <c r="K174" s="991"/>
      <c r="L174" s="991"/>
    </row>
  </sheetData>
  <sheetProtection formatCells="0" formatColumns="0" formatRows="0"/>
  <dataValidations count="8">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3" customWidth="1"/>
    <col min="2" max="2" width="24.5" style="2874" customWidth="1"/>
    <col min="3" max="3" width="24.5" style="2875" customWidth="1"/>
    <col min="4" max="4" width="2.625" style="2875" customWidth="1"/>
    <col min="5" max="5" width="5.875" style="2875" customWidth="1"/>
    <col min="6" max="6" width="27" style="2874" customWidth="1"/>
    <col min="7" max="7" width="27" style="2876" customWidth="1"/>
    <col min="8" max="8" width="11.875" style="2877" customWidth="1"/>
    <col min="9" max="9" width="16.75" style="2878" customWidth="1"/>
    <col min="10" max="10" width="2.625" style="2877" customWidth="1"/>
    <col min="11" max="11" width="11.875" style="2877" customWidth="1"/>
    <col min="12" max="12" width="16.75" style="2878" customWidth="1"/>
    <col min="13" max="13" width="2.625" style="2877" customWidth="1"/>
    <col min="14" max="14" width="11.875" style="2877" customWidth="1"/>
    <col min="15" max="15" width="16.75" style="2878" customWidth="1"/>
    <col min="16" max="16" width="2.625" style="2877" customWidth="1"/>
    <col min="17" max="17" width="11.875" style="2877" customWidth="1"/>
    <col min="18" max="18" width="16.75" style="2879" customWidth="1"/>
    <col min="19" max="29" width="9" style="2395"/>
    <col min="30" max="16384" width="9" style="2873"/>
  </cols>
  <sheetData>
    <row r="1" s="2871" customFormat="1" ht="18.75" spans="1:29">
      <c r="A1" s="2880" t="s">
        <v>714</v>
      </c>
      <c r="B1" s="2881"/>
      <c r="C1" s="2881"/>
      <c r="D1" s="2881"/>
      <c r="E1" s="2881"/>
      <c r="F1" s="2881"/>
      <c r="G1" s="2881"/>
      <c r="H1" s="2882"/>
      <c r="I1" s="2934"/>
      <c r="J1" s="2882"/>
      <c r="K1" s="2882"/>
      <c r="L1" s="2934"/>
      <c r="M1" s="2882"/>
      <c r="N1" s="2882"/>
      <c r="O1" s="2934"/>
      <c r="P1" s="2882"/>
      <c r="Q1" s="2941"/>
      <c r="R1" s="2942"/>
      <c r="S1" s="2943"/>
      <c r="T1" s="2943"/>
      <c r="U1" s="2943"/>
      <c r="V1" s="2943"/>
      <c r="W1" s="2943"/>
      <c r="X1" s="2943"/>
      <c r="Y1" s="2943"/>
      <c r="Z1" s="2943"/>
      <c r="AA1" s="2943"/>
      <c r="AB1" s="2943"/>
      <c r="AC1" s="2943"/>
    </row>
    <row r="2" ht="15" spans="1:18">
      <c r="A2" s="2883"/>
      <c r="B2" s="2884"/>
      <c r="C2" s="2885" t="s">
        <v>715</v>
      </c>
      <c r="D2" s="2886"/>
      <c r="E2" s="2883"/>
      <c r="F2" s="2887"/>
      <c r="G2" s="2885" t="s">
        <v>716</v>
      </c>
      <c r="H2" s="2395"/>
      <c r="I2" s="2395"/>
      <c r="J2" s="2395"/>
      <c r="K2" s="2395"/>
      <c r="L2" s="2395"/>
      <c r="M2" s="2395"/>
      <c r="N2" s="2395"/>
      <c r="O2" s="2395"/>
      <c r="P2" s="2395"/>
      <c r="Q2" s="2395"/>
      <c r="R2" s="2395"/>
    </row>
    <row r="3" ht="48" spans="1:18">
      <c r="A3" s="2888" t="s">
        <v>717</v>
      </c>
      <c r="B3" s="2889" t="s">
        <v>718</v>
      </c>
      <c r="C3" s="2890" t="s">
        <v>719</v>
      </c>
      <c r="D3" s="2891"/>
      <c r="E3" s="2892" t="s">
        <v>717</v>
      </c>
      <c r="F3" s="2893" t="s">
        <v>720</v>
      </c>
      <c r="G3" s="2894" t="s">
        <v>721</v>
      </c>
      <c r="H3" s="2395"/>
      <c r="I3" s="2395"/>
      <c r="J3" s="2395"/>
      <c r="K3" s="2395"/>
      <c r="L3" s="2395"/>
      <c r="M3" s="2395"/>
      <c r="N3" s="2395"/>
      <c r="O3" s="2395"/>
      <c r="P3" s="2395"/>
      <c r="Q3" s="2395"/>
      <c r="R3" s="2395"/>
    </row>
    <row r="4" ht="36.75" spans="1:18">
      <c r="A4" s="2892"/>
      <c r="B4" s="2069" t="s">
        <v>722</v>
      </c>
      <c r="C4" s="2895" t="s">
        <v>723</v>
      </c>
      <c r="D4" s="2891"/>
      <c r="E4" s="2896"/>
      <c r="F4" s="2389" t="s">
        <v>724</v>
      </c>
      <c r="G4" s="2897" t="s">
        <v>725</v>
      </c>
      <c r="H4" s="2395"/>
      <c r="I4" s="2395"/>
      <c r="J4" s="2395"/>
      <c r="K4" s="2395"/>
      <c r="L4" s="2395"/>
      <c r="M4" s="2395"/>
      <c r="N4" s="2395"/>
      <c r="O4" s="2395"/>
      <c r="P4" s="2395"/>
      <c r="Q4" s="2395"/>
      <c r="R4" s="2395"/>
    </row>
    <row r="5" ht="36.75" spans="1:18">
      <c r="A5" s="2892"/>
      <c r="B5" s="2069" t="s">
        <v>726</v>
      </c>
      <c r="C5" s="2895" t="s">
        <v>727</v>
      </c>
      <c r="D5" s="2891"/>
      <c r="E5" s="2896"/>
      <c r="F5" s="2069" t="s">
        <v>548</v>
      </c>
      <c r="G5" s="2897" t="s">
        <v>728</v>
      </c>
      <c r="H5" s="2395"/>
      <c r="I5" s="2395"/>
      <c r="J5" s="2395"/>
      <c r="K5" s="2395"/>
      <c r="L5" s="2395"/>
      <c r="M5" s="2395"/>
      <c r="N5" s="2395"/>
      <c r="O5" s="2395"/>
      <c r="P5" s="2395"/>
      <c r="Q5" s="2395"/>
      <c r="R5" s="2395"/>
    </row>
    <row r="6" ht="36" spans="1:18">
      <c r="A6" s="2892"/>
      <c r="B6" s="2069" t="s">
        <v>724</v>
      </c>
      <c r="C6" s="2897" t="s">
        <v>725</v>
      </c>
      <c r="D6" s="2891"/>
      <c r="E6" s="2896"/>
      <c r="F6" s="2069" t="s">
        <v>729</v>
      </c>
      <c r="G6" s="2897" t="s">
        <v>730</v>
      </c>
      <c r="H6" s="2395"/>
      <c r="I6" s="2395"/>
      <c r="J6" s="2395"/>
      <c r="K6" s="2395"/>
      <c r="L6" s="2395"/>
      <c r="M6" s="2395"/>
      <c r="N6" s="2395"/>
      <c r="O6" s="2395"/>
      <c r="P6" s="2395"/>
      <c r="Q6" s="2395"/>
      <c r="R6" s="2395"/>
    </row>
    <row r="7" ht="24.75" spans="1:18">
      <c r="A7" s="2892"/>
      <c r="B7" s="2069" t="s">
        <v>548</v>
      </c>
      <c r="C7" s="2897" t="s">
        <v>728</v>
      </c>
      <c r="D7" s="2898"/>
      <c r="E7" s="2899"/>
      <c r="F7" s="2900" t="s">
        <v>731</v>
      </c>
      <c r="G7" s="2901" t="s">
        <v>732</v>
      </c>
      <c r="H7" s="2395"/>
      <c r="I7" s="2395"/>
      <c r="J7" s="2395"/>
      <c r="K7" s="2395"/>
      <c r="L7" s="2395"/>
      <c r="M7" s="2395"/>
      <c r="N7" s="2395"/>
      <c r="O7" s="2395"/>
      <c r="P7" s="2395"/>
      <c r="Q7" s="2395"/>
      <c r="R7" s="2395"/>
    </row>
    <row r="8" spans="1:18">
      <c r="A8" s="2892"/>
      <c r="B8" s="2069" t="s">
        <v>729</v>
      </c>
      <c r="C8" s="2897" t="s">
        <v>730</v>
      </c>
      <c r="D8" s="2898"/>
      <c r="E8" s="2898"/>
      <c r="F8" s="2191"/>
      <c r="G8" s="2191"/>
      <c r="H8" s="2395"/>
      <c r="I8" s="2395"/>
      <c r="J8" s="2395"/>
      <c r="K8" s="2395"/>
      <c r="L8" s="2395"/>
      <c r="M8" s="2395"/>
      <c r="N8" s="2395"/>
      <c r="O8" s="2395"/>
      <c r="P8" s="2395"/>
      <c r="Q8" s="2395"/>
      <c r="R8" s="2395"/>
    </row>
    <row r="9" ht="24" spans="1:18">
      <c r="A9" s="2892"/>
      <c r="B9" s="2069" t="s">
        <v>733</v>
      </c>
      <c r="C9" s="2895" t="s">
        <v>734</v>
      </c>
      <c r="D9" s="2891"/>
      <c r="E9" s="2898"/>
      <c r="F9" s="2191"/>
      <c r="G9" s="2191"/>
      <c r="H9" s="2395"/>
      <c r="I9" s="2395"/>
      <c r="J9" s="2395"/>
      <c r="K9" s="2395"/>
      <c r="L9" s="2395"/>
      <c r="M9" s="2395"/>
      <c r="N9" s="2395"/>
      <c r="O9" s="2395"/>
      <c r="P9" s="2395"/>
      <c r="Q9" s="2395"/>
      <c r="R9" s="2395"/>
    </row>
    <row r="10" s="2872" customFormat="1" ht="15" spans="1:29">
      <c r="A10" s="2902"/>
      <c r="B10" s="2903" t="s">
        <v>735</v>
      </c>
      <c r="C10" s="2904"/>
      <c r="D10" s="2891"/>
      <c r="E10" s="2891"/>
      <c r="F10" s="2191"/>
      <c r="G10" s="2191"/>
      <c r="H10" s="2905"/>
      <c r="I10" s="2935"/>
      <c r="J10" s="2936"/>
      <c r="K10" s="2905"/>
      <c r="L10" s="2935"/>
      <c r="M10" s="2936"/>
      <c r="N10" s="2905"/>
      <c r="O10" s="2935"/>
      <c r="P10" s="2936"/>
      <c r="Q10" s="2905"/>
      <c r="R10" s="2935"/>
      <c r="S10" s="2395"/>
      <c r="T10" s="2395"/>
      <c r="U10" s="2395"/>
      <c r="V10" s="2395"/>
      <c r="W10" s="2395"/>
      <c r="X10" s="2395"/>
      <c r="Y10" s="2395"/>
      <c r="Z10" s="2395"/>
      <c r="AA10" s="2395"/>
      <c r="AB10" s="2395"/>
      <c r="AC10" s="2395"/>
    </row>
    <row r="11" s="2872" customFormat="1" spans="1:29">
      <c r="A11" s="2906"/>
      <c r="B11" s="2898"/>
      <c r="C11" s="2891"/>
      <c r="D11" s="2891"/>
      <c r="E11" s="2891"/>
      <c r="F11" s="2898"/>
      <c r="G11" s="2907"/>
      <c r="H11" s="2905"/>
      <c r="I11" s="2935"/>
      <c r="J11" s="2936"/>
      <c r="K11" s="2905"/>
      <c r="L11" s="2935"/>
      <c r="M11" s="2936"/>
      <c r="N11" s="2905"/>
      <c r="O11" s="2935"/>
      <c r="P11" s="2936"/>
      <c r="Q11" s="2905"/>
      <c r="R11" s="2935"/>
      <c r="S11" s="2395"/>
      <c r="T11" s="2395"/>
      <c r="U11" s="2395"/>
      <c r="V11" s="2395"/>
      <c r="W11" s="2395"/>
      <c r="X11" s="2395"/>
      <c r="Y11" s="2395"/>
      <c r="Z11" s="2395"/>
      <c r="AA11" s="2395"/>
      <c r="AB11" s="2395"/>
      <c r="AC11" s="2395"/>
    </row>
    <row r="12" s="2871" customFormat="1" ht="18" spans="1:29">
      <c r="A12" s="2906"/>
      <c r="B12" s="2898"/>
      <c r="C12" s="2891"/>
      <c r="D12" s="2908"/>
      <c r="E12" s="2891"/>
      <c r="F12" s="2898"/>
      <c r="G12" s="2907"/>
      <c r="H12" s="2909"/>
      <c r="I12" s="2937"/>
      <c r="J12" s="2909"/>
      <c r="K12" s="2909"/>
      <c r="L12" s="2938"/>
      <c r="M12" s="2909"/>
      <c r="N12" s="2939"/>
      <c r="O12" s="2940"/>
      <c r="P12" s="2939"/>
      <c r="Q12" s="2939"/>
      <c r="R12" s="2942"/>
      <c r="S12" s="2943"/>
      <c r="T12" s="2943"/>
      <c r="U12" s="2943"/>
      <c r="V12" s="2943"/>
      <c r="W12" s="2943"/>
      <c r="X12" s="2943"/>
      <c r="Y12" s="2943"/>
      <c r="Z12" s="2943"/>
      <c r="AA12" s="2943"/>
      <c r="AB12" s="2943"/>
      <c r="AC12" s="2943"/>
    </row>
    <row r="13" spans="1:7">
      <c r="A13" s="2910" t="s">
        <v>736</v>
      </c>
      <c r="B13" s="2908"/>
      <c r="C13" s="2908"/>
      <c r="D13" s="2906"/>
      <c r="E13" s="2908"/>
      <c r="F13" s="2908"/>
      <c r="G13" s="2908"/>
    </row>
    <row r="14" spans="1:7">
      <c r="A14" s="2911"/>
      <c r="B14" s="2911"/>
      <c r="C14" s="2912" t="s">
        <v>715</v>
      </c>
      <c r="D14" s="2891"/>
      <c r="E14" s="2913"/>
      <c r="F14" s="2913"/>
      <c r="G14" s="2885" t="s">
        <v>716</v>
      </c>
    </row>
    <row r="15" ht="48" spans="1:7">
      <c r="A15" s="2914" t="s">
        <v>717</v>
      </c>
      <c r="B15" s="2915" t="s">
        <v>718</v>
      </c>
      <c r="C15" s="2916" t="str">
        <f>C3</f>
        <v>估价对象周边居住用地比例、居住小区规模和社区发展完善程度，综合评价居住社区成熟度一般</v>
      </c>
      <c r="D15" s="2891"/>
      <c r="E15" s="2917" t="s">
        <v>717</v>
      </c>
      <c r="F15" s="2915" t="s">
        <v>720</v>
      </c>
      <c r="G15" s="2918" t="str">
        <f>G3</f>
        <v>估价对象位于XX开发区，园区建设成熟度XX，产业集聚程度XX</v>
      </c>
    </row>
    <row r="16" ht="36.75" spans="1:7">
      <c r="A16" s="2919"/>
      <c r="B16" s="2920" t="s">
        <v>722</v>
      </c>
      <c r="C16" s="2921" t="str">
        <f>C4</f>
        <v>估价对象位于XX商圈，周边商业氛围成熟，人流量大，商业繁华度好</v>
      </c>
      <c r="D16" s="2891"/>
      <c r="E16" s="2922"/>
      <c r="F16" s="2923" t="s">
        <v>724</v>
      </c>
      <c r="G16" s="2924" t="str">
        <f>G4</f>
        <v>估价对象周边道路状况、公共交通通达情况、停车便捷程度，综合评价交通便捷度较好</v>
      </c>
    </row>
    <row r="17" ht="36.75" spans="1:7">
      <c r="A17" s="2919"/>
      <c r="B17" s="2920" t="s">
        <v>726</v>
      </c>
      <c r="C17" s="2921" t="str">
        <f>C5</f>
        <v>估价对象位于XX商圈，周边办公楼项目较多，入驻率高，办公集聚程度较好</v>
      </c>
      <c r="D17" s="2898"/>
      <c r="E17" s="2922"/>
      <c r="F17" s="2923" t="s">
        <v>737</v>
      </c>
      <c r="G17" s="2925"/>
    </row>
    <row r="18" ht="36" spans="1:7">
      <c r="A18" s="2919"/>
      <c r="B18" s="2923" t="s">
        <v>724</v>
      </c>
      <c r="C18" s="2924" t="str">
        <f>C6</f>
        <v>估价对象周边道路状况、公共交通通达情况、停车便捷程度，综合评价交通便捷度较好</v>
      </c>
      <c r="D18" s="2898"/>
      <c r="E18" s="2922"/>
      <c r="F18" s="2923" t="s">
        <v>731</v>
      </c>
      <c r="G18" s="2924" t="str">
        <f>G7</f>
        <v>该园区内是否有污染型企业，绿化情况，卫生条件，整体环境状况判断</v>
      </c>
    </row>
    <row r="19" ht="24" spans="1:7">
      <c r="A19" s="2919"/>
      <c r="B19" s="2923" t="s">
        <v>737</v>
      </c>
      <c r="C19" s="2925"/>
      <c r="D19" s="2891"/>
      <c r="E19" s="2922"/>
      <c r="F19" s="2069" t="s">
        <v>548</v>
      </c>
      <c r="G19" s="2924" t="str">
        <f>G5</f>
        <v>估价对象所在区域公共配套设施齐备情况</v>
      </c>
    </row>
    <row r="20" ht="24" spans="1:7">
      <c r="A20" s="2919"/>
      <c r="B20" s="2923" t="s">
        <v>738</v>
      </c>
      <c r="C20" s="2921" t="str">
        <f>C9</f>
        <v>区域自然环境：；人文环境；综合评价环境状况一般</v>
      </c>
      <c r="D20" s="2898"/>
      <c r="E20" s="2922"/>
      <c r="F20" s="2069" t="s">
        <v>729</v>
      </c>
      <c r="G20" s="2924" t="str">
        <f>G6</f>
        <v>估价对象所在区域基础设施水平</v>
      </c>
    </row>
    <row r="21" ht="24" spans="1:7">
      <c r="A21" s="2919"/>
      <c r="B21" s="2069" t="s">
        <v>548</v>
      </c>
      <c r="C21" s="2924" t="str">
        <f>C7</f>
        <v>估价对象所在区域公共配套设施齐备情况</v>
      </c>
      <c r="D21" s="2891"/>
      <c r="E21" s="2922"/>
      <c r="F21" s="2923" t="s">
        <v>739</v>
      </c>
      <c r="G21" s="2926"/>
    </row>
    <row r="22" ht="13.5" customHeight="1" spans="1:7">
      <c r="A22" s="2919"/>
      <c r="B22" s="2069" t="s">
        <v>729</v>
      </c>
      <c r="C22" s="2924" t="str">
        <f>C8</f>
        <v>估价对象所在区域基础设施水平</v>
      </c>
      <c r="D22" s="2891"/>
      <c r="E22" s="2922"/>
      <c r="F22" s="2923" t="s">
        <v>735</v>
      </c>
      <c r="G22" s="2925"/>
    </row>
    <row r="23" s="2395" customFormat="1" ht="15" spans="1:18">
      <c r="A23" s="2919"/>
      <c r="B23" s="2923" t="s">
        <v>739</v>
      </c>
      <c r="C23" s="2926"/>
      <c r="D23" s="2850"/>
      <c r="E23" s="2927"/>
      <c r="F23" s="2928" t="s">
        <v>498</v>
      </c>
      <c r="G23" s="2929"/>
      <c r="H23" s="2877"/>
      <c r="I23" s="2878"/>
      <c r="J23" s="2877"/>
      <c r="K23" s="2877"/>
      <c r="L23" s="2878"/>
      <c r="M23" s="2877"/>
      <c r="N23" s="2877"/>
      <c r="O23" s="2878"/>
      <c r="P23" s="2877"/>
      <c r="Q23" s="2877"/>
      <c r="R23" s="2879"/>
    </row>
    <row r="24" s="2395" customFormat="1" ht="15" spans="1:18">
      <c r="A24" s="2930"/>
      <c r="B24" s="2928" t="s">
        <v>735</v>
      </c>
      <c r="C24" s="2931">
        <f>C10</f>
        <v>0</v>
      </c>
      <c r="D24" s="2850"/>
      <c r="E24" s="2932"/>
      <c r="F24" s="2932"/>
      <c r="G24" s="2933"/>
      <c r="H24" s="2877"/>
      <c r="I24" s="2878"/>
      <c r="J24" s="2877"/>
      <c r="K24" s="2877"/>
      <c r="L24" s="2878"/>
      <c r="M24" s="2877"/>
      <c r="N24" s="2877"/>
      <c r="O24" s="2878"/>
      <c r="P24" s="2877"/>
      <c r="Q24" s="2877"/>
      <c r="R24" s="2879"/>
    </row>
    <row r="25" s="2395" customFormat="1" spans="2:18">
      <c r="B25" s="2877"/>
      <c r="C25" s="2877"/>
      <c r="D25" s="2877"/>
      <c r="H25" s="2877"/>
      <c r="I25" s="2878"/>
      <c r="J25" s="2877"/>
      <c r="K25" s="2877"/>
      <c r="L25" s="2878"/>
      <c r="M25" s="2877"/>
      <c r="N25" s="2877"/>
      <c r="O25" s="2878"/>
      <c r="P25" s="2877"/>
      <c r="Q25" s="2877"/>
      <c r="R25" s="2879"/>
    </row>
    <row r="26" s="2395" customFormat="1" spans="2:18">
      <c r="B26" s="2877"/>
      <c r="C26" s="2877"/>
      <c r="D26" s="2877"/>
      <c r="H26" s="2877"/>
      <c r="I26" s="2878"/>
      <c r="J26" s="2877"/>
      <c r="K26" s="2877"/>
      <c r="L26" s="2878"/>
      <c r="M26" s="2877"/>
      <c r="N26" s="2877"/>
      <c r="O26" s="2878"/>
      <c r="P26" s="2877"/>
      <c r="Q26" s="2877"/>
      <c r="R26" s="2879"/>
    </row>
    <row r="27" s="2395" customFormat="1" spans="2:18">
      <c r="B27" s="2877"/>
      <c r="C27" s="2877"/>
      <c r="D27" s="2877"/>
      <c r="H27" s="2877"/>
      <c r="I27" s="2878"/>
      <c r="J27" s="2877"/>
      <c r="K27" s="2877"/>
      <c r="L27" s="2878"/>
      <c r="M27" s="2877"/>
      <c r="N27" s="2877"/>
      <c r="O27" s="2878"/>
      <c r="P27" s="2877"/>
      <c r="Q27" s="2877"/>
      <c r="R27" s="2879"/>
    </row>
    <row r="28" s="2395" customFormat="1" spans="2:18">
      <c r="B28" s="2877"/>
      <c r="C28" s="2877"/>
      <c r="D28" s="2877"/>
      <c r="H28" s="2877"/>
      <c r="I28" s="2878"/>
      <c r="J28" s="2877"/>
      <c r="K28" s="2877"/>
      <c r="L28" s="2878"/>
      <c r="M28" s="2877"/>
      <c r="N28" s="2877"/>
      <c r="O28" s="2878"/>
      <c r="P28" s="2877"/>
      <c r="Q28" s="2877"/>
      <c r="R28" s="2879"/>
    </row>
    <row r="29" s="2395" customFormat="1" spans="2:18">
      <c r="B29" s="2877"/>
      <c r="C29" s="2877"/>
      <c r="D29" s="2877"/>
      <c r="H29" s="2877"/>
      <c r="I29" s="2878"/>
      <c r="J29" s="2877"/>
      <c r="K29" s="2877"/>
      <c r="L29" s="2878"/>
      <c r="M29" s="2877"/>
      <c r="N29" s="2877"/>
      <c r="O29" s="2878"/>
      <c r="P29" s="2877"/>
      <c r="Q29" s="2877"/>
      <c r="R29" s="2879"/>
    </row>
    <row r="30" s="2395" customFormat="1" spans="2:18">
      <c r="B30" s="2877"/>
      <c r="C30" s="2877"/>
      <c r="D30" s="2877"/>
      <c r="H30" s="2877"/>
      <c r="I30" s="2878"/>
      <c r="J30" s="2877"/>
      <c r="K30" s="2877"/>
      <c r="L30" s="2878"/>
      <c r="M30" s="2877"/>
      <c r="N30" s="2877"/>
      <c r="O30" s="2878"/>
      <c r="P30" s="2877"/>
      <c r="Q30" s="2877"/>
      <c r="R30" s="2879"/>
    </row>
    <row r="31" s="2395" customFormat="1" spans="2:18">
      <c r="B31" s="2877"/>
      <c r="C31" s="2877"/>
      <c r="D31" s="2877"/>
      <c r="H31" s="2877"/>
      <c r="I31" s="2878"/>
      <c r="J31" s="2877"/>
      <c r="K31" s="2877"/>
      <c r="L31" s="2878"/>
      <c r="M31" s="2877"/>
      <c r="N31" s="2877"/>
      <c r="O31" s="2878"/>
      <c r="P31" s="2877"/>
      <c r="Q31" s="2877"/>
      <c r="R31" s="2879"/>
    </row>
    <row r="32" s="2395" customFormat="1" spans="2:18">
      <c r="B32" s="2877"/>
      <c r="C32" s="2877"/>
      <c r="D32" s="2877"/>
      <c r="H32" s="2877"/>
      <c r="I32" s="2878"/>
      <c r="J32" s="2877"/>
      <c r="K32" s="2877"/>
      <c r="L32" s="2878"/>
      <c r="M32" s="2877"/>
      <c r="N32" s="2877"/>
      <c r="O32" s="2878"/>
      <c r="P32" s="2877"/>
      <c r="Q32" s="2877"/>
      <c r="R32" s="2879"/>
    </row>
    <row r="33" s="2395" customFormat="1" spans="2:18">
      <c r="B33" s="2877"/>
      <c r="C33" s="2877"/>
      <c r="D33" s="2877"/>
      <c r="H33" s="2877"/>
      <c r="I33" s="2878"/>
      <c r="J33" s="2877"/>
      <c r="K33" s="2877"/>
      <c r="L33" s="2878"/>
      <c r="M33" s="2877"/>
      <c r="N33" s="2877"/>
      <c r="O33" s="2878"/>
      <c r="P33" s="2877"/>
      <c r="Q33" s="2877"/>
      <c r="R33" s="2879"/>
    </row>
    <row r="34" s="2395" customFormat="1" spans="2:18">
      <c r="B34" s="2877"/>
      <c r="C34" s="2877"/>
      <c r="D34" s="2877"/>
      <c r="H34" s="2877"/>
      <c r="I34" s="2878"/>
      <c r="J34" s="2877"/>
      <c r="K34" s="2877"/>
      <c r="L34" s="2878"/>
      <c r="M34" s="2877"/>
      <c r="N34" s="2877"/>
      <c r="O34" s="2878"/>
      <c r="P34" s="2877"/>
      <c r="Q34" s="2877"/>
      <c r="R34" s="2879"/>
    </row>
    <row r="35" s="2395" customFormat="1" spans="2:18">
      <c r="B35" s="2877"/>
      <c r="C35" s="2877"/>
      <c r="D35" s="2877"/>
      <c r="H35" s="2877"/>
      <c r="I35" s="2878"/>
      <c r="J35" s="2877"/>
      <c r="K35" s="2877"/>
      <c r="L35" s="2878"/>
      <c r="M35" s="2877"/>
      <c r="N35" s="2877"/>
      <c r="O35" s="2878"/>
      <c r="P35" s="2877"/>
      <c r="Q35" s="2877"/>
      <c r="R35" s="2879"/>
    </row>
    <row r="36" s="2395" customFormat="1" spans="2:18">
      <c r="B36" s="2877"/>
      <c r="C36" s="2877"/>
      <c r="D36" s="2877"/>
      <c r="H36" s="2877"/>
      <c r="I36" s="2878"/>
      <c r="J36" s="2877"/>
      <c r="K36" s="2877"/>
      <c r="L36" s="2878"/>
      <c r="M36" s="2877"/>
      <c r="N36" s="2877"/>
      <c r="O36" s="2878"/>
      <c r="P36" s="2877"/>
      <c r="Q36" s="2877"/>
      <c r="R36" s="2879"/>
    </row>
    <row r="37" s="2395" customFormat="1" spans="2:18">
      <c r="B37" s="2877"/>
      <c r="C37" s="2877"/>
      <c r="D37" s="2877"/>
      <c r="H37" s="2877"/>
      <c r="I37" s="2878"/>
      <c r="J37" s="2877"/>
      <c r="K37" s="2877"/>
      <c r="L37" s="2878"/>
      <c r="M37" s="2877"/>
      <c r="N37" s="2877"/>
      <c r="O37" s="2878"/>
      <c r="P37" s="2877"/>
      <c r="Q37" s="2877"/>
      <c r="R37" s="2879"/>
    </row>
    <row r="38" s="2395" customFormat="1" spans="2:18">
      <c r="B38" s="2877"/>
      <c r="C38" s="2877"/>
      <c r="D38" s="2877"/>
      <c r="E38" s="2877"/>
      <c r="F38" s="2877"/>
      <c r="G38" s="2878"/>
      <c r="H38" s="2877"/>
      <c r="I38" s="2878"/>
      <c r="J38" s="2877"/>
      <c r="K38" s="2877"/>
      <c r="L38" s="2878"/>
      <c r="M38" s="2877"/>
      <c r="N38" s="2877"/>
      <c r="O38" s="2878"/>
      <c r="P38" s="2877"/>
      <c r="Q38" s="2877"/>
      <c r="R38" s="2879"/>
    </row>
    <row r="39" s="2395" customFormat="1" spans="2:18">
      <c r="B39" s="2877"/>
      <c r="C39" s="2877"/>
      <c r="D39" s="2877"/>
      <c r="E39" s="2877"/>
      <c r="F39" s="2877"/>
      <c r="G39" s="2878"/>
      <c r="H39" s="2877"/>
      <c r="I39" s="2878"/>
      <c r="J39" s="2877"/>
      <c r="K39" s="2877"/>
      <c r="L39" s="2878"/>
      <c r="M39" s="2877"/>
      <c r="N39" s="2877"/>
      <c r="O39" s="2878"/>
      <c r="P39" s="2877"/>
      <c r="Q39" s="2877"/>
      <c r="R39" s="2879"/>
    </row>
    <row r="40" s="2395" customFormat="1" spans="2:18">
      <c r="B40" s="2877"/>
      <c r="C40" s="2877"/>
      <c r="D40" s="2877"/>
      <c r="E40" s="2877"/>
      <c r="F40" s="2877"/>
      <c r="G40" s="2878"/>
      <c r="H40" s="2877"/>
      <c r="I40" s="2878"/>
      <c r="J40" s="2877"/>
      <c r="K40" s="2877"/>
      <c r="L40" s="2878"/>
      <c r="M40" s="2877"/>
      <c r="N40" s="2877"/>
      <c r="O40" s="2878"/>
      <c r="P40" s="2877"/>
      <c r="Q40" s="2877"/>
      <c r="R40" s="2879"/>
    </row>
    <row r="41" s="2395" customFormat="1" spans="2:18">
      <c r="B41" s="2877"/>
      <c r="C41" s="2877"/>
      <c r="D41" s="2877"/>
      <c r="E41" s="2877"/>
      <c r="F41" s="2877"/>
      <c r="G41" s="2878"/>
      <c r="H41" s="2877"/>
      <c r="I41" s="2878"/>
      <c r="J41" s="2877"/>
      <c r="K41" s="2877"/>
      <c r="L41" s="2878"/>
      <c r="M41" s="2877"/>
      <c r="N41" s="2877"/>
      <c r="O41" s="2878"/>
      <c r="P41" s="2877"/>
      <c r="Q41" s="2877"/>
      <c r="R41" s="2879"/>
    </row>
    <row r="42" s="2395" customFormat="1" spans="2:18">
      <c r="B42" s="2877"/>
      <c r="C42" s="2877"/>
      <c r="D42" s="2877"/>
      <c r="E42" s="2877"/>
      <c r="F42" s="2877"/>
      <c r="G42" s="2878"/>
      <c r="H42" s="2877"/>
      <c r="I42" s="2878"/>
      <c r="J42" s="2877"/>
      <c r="K42" s="2877"/>
      <c r="L42" s="2878"/>
      <c r="M42" s="2877"/>
      <c r="N42" s="2877"/>
      <c r="O42" s="2878"/>
      <c r="P42" s="2877"/>
      <c r="Q42" s="2877"/>
      <c r="R42" s="2879"/>
    </row>
    <row r="43" s="2395" customFormat="1" spans="2:18">
      <c r="B43" s="2877"/>
      <c r="C43" s="2877"/>
      <c r="D43" s="2877"/>
      <c r="E43" s="2877"/>
      <c r="F43" s="2877"/>
      <c r="G43" s="2878"/>
      <c r="H43" s="2877"/>
      <c r="I43" s="2878"/>
      <c r="J43" s="2877"/>
      <c r="K43" s="2877"/>
      <c r="L43" s="2878"/>
      <c r="M43" s="2877"/>
      <c r="N43" s="2877"/>
      <c r="O43" s="2878"/>
      <c r="P43" s="2877"/>
      <c r="Q43" s="2877"/>
      <c r="R43" s="2879"/>
    </row>
    <row r="44" s="2395" customFormat="1" spans="2:18">
      <c r="B44" s="2877"/>
      <c r="C44" s="2877"/>
      <c r="D44" s="2877"/>
      <c r="E44" s="2877"/>
      <c r="F44" s="2877"/>
      <c r="G44" s="2878"/>
      <c r="H44" s="2877"/>
      <c r="I44" s="2878"/>
      <c r="J44" s="2877"/>
      <c r="K44" s="2877"/>
      <c r="L44" s="2878"/>
      <c r="M44" s="2877"/>
      <c r="N44" s="2877"/>
      <c r="O44" s="2878"/>
      <c r="P44" s="2877"/>
      <c r="Q44" s="2877"/>
      <c r="R44" s="2879"/>
    </row>
    <row r="45" s="2395" customFormat="1" spans="2:18">
      <c r="B45" s="2877"/>
      <c r="C45" s="2877"/>
      <c r="D45" s="2877"/>
      <c r="E45" s="2877"/>
      <c r="F45" s="2877"/>
      <c r="G45" s="2878"/>
      <c r="H45" s="2877"/>
      <c r="I45" s="2878"/>
      <c r="J45" s="2877"/>
      <c r="K45" s="2877"/>
      <c r="L45" s="2878"/>
      <c r="M45" s="2877"/>
      <c r="N45" s="2877"/>
      <c r="O45" s="2878"/>
      <c r="P45" s="2877"/>
      <c r="Q45" s="2877"/>
      <c r="R45" s="2879"/>
    </row>
    <row r="46" s="2395" customFormat="1" spans="2:18">
      <c r="B46" s="2877"/>
      <c r="C46" s="2877"/>
      <c r="D46" s="2877"/>
      <c r="E46" s="2877"/>
      <c r="F46" s="2877"/>
      <c r="G46" s="2878"/>
      <c r="H46" s="2877"/>
      <c r="I46" s="2878"/>
      <c r="J46" s="2877"/>
      <c r="K46" s="2877"/>
      <c r="L46" s="2878"/>
      <c r="M46" s="2877"/>
      <c r="N46" s="2877"/>
      <c r="O46" s="2878"/>
      <c r="P46" s="2877"/>
      <c r="Q46" s="2877"/>
      <c r="R46" s="2879"/>
    </row>
    <row r="47" s="2395" customFormat="1" spans="2:18">
      <c r="B47" s="2877"/>
      <c r="C47" s="2877"/>
      <c r="D47" s="2877"/>
      <c r="E47" s="2877"/>
      <c r="F47" s="2877"/>
      <c r="G47" s="2878"/>
      <c r="H47" s="2877"/>
      <c r="I47" s="2878"/>
      <c r="J47" s="2877"/>
      <c r="K47" s="2877"/>
      <c r="L47" s="2878"/>
      <c r="M47" s="2877"/>
      <c r="N47" s="2877"/>
      <c r="O47" s="2878"/>
      <c r="P47" s="2877"/>
      <c r="Q47" s="2877"/>
      <c r="R47" s="2879"/>
    </row>
    <row r="48" s="2395" customFormat="1" spans="2:18">
      <c r="B48" s="2877"/>
      <c r="C48" s="2877"/>
      <c r="D48" s="2877"/>
      <c r="E48" s="2877"/>
      <c r="F48" s="2877"/>
      <c r="G48" s="2878"/>
      <c r="H48" s="2877"/>
      <c r="I48" s="2878"/>
      <c r="J48" s="2877"/>
      <c r="K48" s="2877"/>
      <c r="L48" s="2878"/>
      <c r="M48" s="2877"/>
      <c r="N48" s="2877"/>
      <c r="O48" s="2878"/>
      <c r="P48" s="2877"/>
      <c r="Q48" s="2877"/>
      <c r="R48" s="2879"/>
    </row>
    <row r="49" s="2395" customFormat="1" spans="2:18">
      <c r="B49" s="2877"/>
      <c r="C49" s="2877"/>
      <c r="D49" s="2877"/>
      <c r="E49" s="2877"/>
      <c r="F49" s="2877"/>
      <c r="G49" s="2878"/>
      <c r="H49" s="2877"/>
      <c r="I49" s="2878"/>
      <c r="J49" s="2877"/>
      <c r="K49" s="2877"/>
      <c r="L49" s="2878"/>
      <c r="M49" s="2877"/>
      <c r="N49" s="2877"/>
      <c r="O49" s="2878"/>
      <c r="P49" s="2877"/>
      <c r="Q49" s="2877"/>
      <c r="R49" s="2879"/>
    </row>
    <row r="50" s="2395" customFormat="1" spans="2:18">
      <c r="B50" s="2877"/>
      <c r="C50" s="2877"/>
      <c r="D50" s="2877"/>
      <c r="E50" s="2877"/>
      <c r="F50" s="2877"/>
      <c r="G50" s="2878"/>
      <c r="H50" s="2877"/>
      <c r="I50" s="2878"/>
      <c r="J50" s="2877"/>
      <c r="K50" s="2877"/>
      <c r="L50" s="2878"/>
      <c r="M50" s="2877"/>
      <c r="N50" s="2877"/>
      <c r="O50" s="2878"/>
      <c r="P50" s="2877"/>
      <c r="Q50" s="2877"/>
      <c r="R50" s="2879"/>
    </row>
    <row r="51" s="2395" customFormat="1" spans="2:18">
      <c r="B51" s="2877"/>
      <c r="C51" s="2877"/>
      <c r="D51" s="2877"/>
      <c r="E51" s="2877"/>
      <c r="F51" s="2877"/>
      <c r="G51" s="2878"/>
      <c r="H51" s="2877"/>
      <c r="I51" s="2878"/>
      <c r="J51" s="2877"/>
      <c r="K51" s="2877"/>
      <c r="L51" s="2878"/>
      <c r="M51" s="2877"/>
      <c r="N51" s="2877"/>
      <c r="O51" s="2878"/>
      <c r="P51" s="2877"/>
      <c r="Q51" s="2877"/>
      <c r="R51" s="2879"/>
    </row>
    <row r="52" s="2395" customFormat="1" spans="2:18">
      <c r="B52" s="2877"/>
      <c r="C52" s="2877"/>
      <c r="D52" s="2877"/>
      <c r="E52" s="2877"/>
      <c r="F52" s="2877"/>
      <c r="G52" s="2878"/>
      <c r="H52" s="2877"/>
      <c r="I52" s="2878"/>
      <c r="J52" s="2877"/>
      <c r="K52" s="2877"/>
      <c r="L52" s="2878"/>
      <c r="M52" s="2877"/>
      <c r="N52" s="2877"/>
      <c r="O52" s="2878"/>
      <c r="P52" s="2877"/>
      <c r="Q52" s="2877"/>
      <c r="R52" s="2879"/>
    </row>
    <row r="53" s="2395" customFormat="1" spans="2:18">
      <c r="B53" s="2877"/>
      <c r="C53" s="2877"/>
      <c r="D53" s="2877"/>
      <c r="E53" s="2877"/>
      <c r="F53" s="2877"/>
      <c r="G53" s="2878"/>
      <c r="H53" s="2877"/>
      <c r="I53" s="2878"/>
      <c r="J53" s="2877"/>
      <c r="K53" s="2877"/>
      <c r="L53" s="2878"/>
      <c r="M53" s="2877"/>
      <c r="N53" s="2877"/>
      <c r="O53" s="2878"/>
      <c r="P53" s="2877"/>
      <c r="Q53" s="2877"/>
      <c r="R53" s="2879"/>
    </row>
    <row r="54" s="2395" customFormat="1" spans="2:18">
      <c r="B54" s="2877"/>
      <c r="C54" s="2877"/>
      <c r="D54" s="2877"/>
      <c r="E54" s="2877"/>
      <c r="F54" s="2877"/>
      <c r="G54" s="2878"/>
      <c r="H54" s="2877"/>
      <c r="I54" s="2878"/>
      <c r="J54" s="2877"/>
      <c r="K54" s="2877"/>
      <c r="L54" s="2878"/>
      <c r="M54" s="2877"/>
      <c r="N54" s="2877"/>
      <c r="O54" s="2878"/>
      <c r="P54" s="2877"/>
      <c r="Q54" s="2877"/>
      <c r="R54" s="2879"/>
    </row>
    <row r="55" s="2395" customFormat="1" spans="2:18">
      <c r="B55" s="2877"/>
      <c r="C55" s="2877"/>
      <c r="D55" s="2877"/>
      <c r="E55" s="2877"/>
      <c r="F55" s="2877"/>
      <c r="G55" s="2878"/>
      <c r="H55" s="2877"/>
      <c r="I55" s="2878"/>
      <c r="J55" s="2877"/>
      <c r="K55" s="2877"/>
      <c r="L55" s="2878"/>
      <c r="M55" s="2877"/>
      <c r="N55" s="2877"/>
      <c r="O55" s="2878"/>
      <c r="P55" s="2877"/>
      <c r="Q55" s="2877"/>
      <c r="R55" s="2879"/>
    </row>
    <row r="56" s="2395" customFormat="1" spans="2:18">
      <c r="B56" s="2877"/>
      <c r="C56" s="2877"/>
      <c r="D56" s="2877"/>
      <c r="E56" s="2877"/>
      <c r="F56" s="2877"/>
      <c r="G56" s="2878"/>
      <c r="H56" s="2877"/>
      <c r="I56" s="2878"/>
      <c r="J56" s="2877"/>
      <c r="K56" s="2877"/>
      <c r="L56" s="2878"/>
      <c r="M56" s="2877"/>
      <c r="N56" s="2877"/>
      <c r="O56" s="2878"/>
      <c r="P56" s="2877"/>
      <c r="Q56" s="2877"/>
      <c r="R56" s="2879"/>
    </row>
    <row r="57" s="2395" customFormat="1" spans="2:18">
      <c r="B57" s="2877"/>
      <c r="C57" s="2877"/>
      <c r="D57" s="2877"/>
      <c r="E57" s="2877"/>
      <c r="F57" s="2877"/>
      <c r="G57" s="2878"/>
      <c r="H57" s="2877"/>
      <c r="I57" s="2878"/>
      <c r="J57" s="2877"/>
      <c r="K57" s="2877"/>
      <c r="L57" s="2878"/>
      <c r="M57" s="2877"/>
      <c r="N57" s="2877"/>
      <c r="O57" s="2878"/>
      <c r="P57" s="2877"/>
      <c r="Q57" s="2877"/>
      <c r="R57" s="2879"/>
    </row>
    <row r="58" s="2395" customFormat="1" spans="2:18">
      <c r="B58" s="2877"/>
      <c r="C58" s="2877"/>
      <c r="D58" s="2877"/>
      <c r="E58" s="2877"/>
      <c r="F58" s="2877"/>
      <c r="G58" s="2878"/>
      <c r="H58" s="2877"/>
      <c r="I58" s="2878"/>
      <c r="J58" s="2877"/>
      <c r="K58" s="2877"/>
      <c r="L58" s="2878"/>
      <c r="M58" s="2877"/>
      <c r="N58" s="2877"/>
      <c r="O58" s="2878"/>
      <c r="P58" s="2877"/>
      <c r="Q58" s="2877"/>
      <c r="R58" s="2879"/>
    </row>
    <row r="59" s="2395" customFormat="1" spans="2:18">
      <c r="B59" s="2877"/>
      <c r="C59" s="2877"/>
      <c r="D59" s="2877"/>
      <c r="E59" s="2877"/>
      <c r="F59" s="2877"/>
      <c r="G59" s="2878"/>
      <c r="H59" s="2877"/>
      <c r="I59" s="2878"/>
      <c r="J59" s="2877"/>
      <c r="K59" s="2877"/>
      <c r="L59" s="2878"/>
      <c r="M59" s="2877"/>
      <c r="N59" s="2877"/>
      <c r="O59" s="2878"/>
      <c r="P59" s="2877"/>
      <c r="Q59" s="2877"/>
      <c r="R59" s="2879"/>
    </row>
    <row r="60" s="2395" customFormat="1" spans="2:18">
      <c r="B60" s="2877"/>
      <c r="C60" s="2877"/>
      <c r="D60" s="2877"/>
      <c r="E60" s="2877"/>
      <c r="F60" s="2877"/>
      <c r="G60" s="2878"/>
      <c r="H60" s="2877"/>
      <c r="I60" s="2878"/>
      <c r="J60" s="2877"/>
      <c r="K60" s="2877"/>
      <c r="L60" s="2878"/>
      <c r="M60" s="2877"/>
      <c r="N60" s="2877"/>
      <c r="O60" s="2878"/>
      <c r="P60" s="2877"/>
      <c r="Q60" s="2877"/>
      <c r="R60" s="2879"/>
    </row>
    <row r="61" s="2395" customFormat="1" spans="2:18">
      <c r="B61" s="2877"/>
      <c r="C61" s="2877"/>
      <c r="D61" s="2877"/>
      <c r="E61" s="2877"/>
      <c r="F61" s="2877"/>
      <c r="G61" s="2878"/>
      <c r="H61" s="2877"/>
      <c r="I61" s="2878"/>
      <c r="J61" s="2877"/>
      <c r="K61" s="2877"/>
      <c r="L61" s="2878"/>
      <c r="M61" s="2877"/>
      <c r="N61" s="2877"/>
      <c r="O61" s="2878"/>
      <c r="P61" s="2877"/>
      <c r="Q61" s="2877"/>
      <c r="R61" s="2879"/>
    </row>
    <row r="62" s="2395" customFormat="1" spans="2:18">
      <c r="B62" s="2877"/>
      <c r="C62" s="2877"/>
      <c r="D62" s="2877"/>
      <c r="E62" s="2877"/>
      <c r="F62" s="2877"/>
      <c r="G62" s="2878"/>
      <c r="H62" s="2877"/>
      <c r="I62" s="2878"/>
      <c r="J62" s="2877"/>
      <c r="K62" s="2877"/>
      <c r="L62" s="2878"/>
      <c r="M62" s="2877"/>
      <c r="N62" s="2877"/>
      <c r="O62" s="2878"/>
      <c r="P62" s="2877"/>
      <c r="Q62" s="2877"/>
      <c r="R62" s="2879"/>
    </row>
    <row r="63" s="2395" customFormat="1" spans="2:18">
      <c r="B63" s="2877"/>
      <c r="C63" s="2877"/>
      <c r="D63" s="2877"/>
      <c r="E63" s="2877"/>
      <c r="F63" s="2877"/>
      <c r="G63" s="2878"/>
      <c r="H63" s="2877"/>
      <c r="I63" s="2878"/>
      <c r="J63" s="2877"/>
      <c r="K63" s="2877"/>
      <c r="L63" s="2878"/>
      <c r="M63" s="2877"/>
      <c r="N63" s="2877"/>
      <c r="O63" s="2878"/>
      <c r="P63" s="2877"/>
      <c r="Q63" s="2877"/>
      <c r="R63" s="2879"/>
    </row>
    <row r="64" s="2395" customFormat="1" spans="2:18">
      <c r="B64" s="2877"/>
      <c r="C64" s="2877"/>
      <c r="D64" s="2877"/>
      <c r="E64" s="2877"/>
      <c r="F64" s="2877"/>
      <c r="G64" s="2878"/>
      <c r="H64" s="2877"/>
      <c r="I64" s="2878"/>
      <c r="J64" s="2877"/>
      <c r="K64" s="2877"/>
      <c r="L64" s="2878"/>
      <c r="M64" s="2877"/>
      <c r="N64" s="2877"/>
      <c r="O64" s="2878"/>
      <c r="P64" s="2877"/>
      <c r="Q64" s="2877"/>
      <c r="R64" s="2879"/>
    </row>
    <row r="65" s="2395" customFormat="1" spans="2:18">
      <c r="B65" s="2877"/>
      <c r="C65" s="2877"/>
      <c r="D65" s="2877"/>
      <c r="E65" s="2877"/>
      <c r="F65" s="2877"/>
      <c r="G65" s="2878"/>
      <c r="H65" s="2877"/>
      <c r="I65" s="2878"/>
      <c r="J65" s="2877"/>
      <c r="K65" s="2877"/>
      <c r="L65" s="2878"/>
      <c r="M65" s="2877"/>
      <c r="N65" s="2877"/>
      <c r="O65" s="2878"/>
      <c r="P65" s="2877"/>
      <c r="Q65" s="2877"/>
      <c r="R65" s="2879"/>
    </row>
    <row r="66" s="2395" customFormat="1" spans="2:18">
      <c r="B66" s="2877"/>
      <c r="C66" s="2877"/>
      <c r="D66" s="2877"/>
      <c r="E66" s="2877"/>
      <c r="F66" s="2877"/>
      <c r="G66" s="2878"/>
      <c r="H66" s="2877"/>
      <c r="I66" s="2878"/>
      <c r="J66" s="2877"/>
      <c r="K66" s="2877"/>
      <c r="L66" s="2878"/>
      <c r="M66" s="2877"/>
      <c r="N66" s="2877"/>
      <c r="O66" s="2878"/>
      <c r="P66" s="2877"/>
      <c r="Q66" s="2877"/>
      <c r="R66" s="2879"/>
    </row>
    <row r="67" s="2395" customFormat="1" spans="2:18">
      <c r="B67" s="2877"/>
      <c r="C67" s="2877"/>
      <c r="D67" s="2877"/>
      <c r="E67" s="2877"/>
      <c r="F67" s="2877"/>
      <c r="G67" s="2878"/>
      <c r="H67" s="2877"/>
      <c r="I67" s="2878"/>
      <c r="J67" s="2877"/>
      <c r="K67" s="2877"/>
      <c r="L67" s="2878"/>
      <c r="M67" s="2877"/>
      <c r="N67" s="2877"/>
      <c r="O67" s="2878"/>
      <c r="P67" s="2877"/>
      <c r="Q67" s="2877"/>
      <c r="R67" s="2879"/>
    </row>
    <row r="68" s="2395" customFormat="1" spans="2:18">
      <c r="B68" s="2877"/>
      <c r="C68" s="2877"/>
      <c r="D68" s="2877"/>
      <c r="E68" s="2877"/>
      <c r="F68" s="2877"/>
      <c r="G68" s="2878"/>
      <c r="H68" s="2877"/>
      <c r="I68" s="2878"/>
      <c r="J68" s="2877"/>
      <c r="K68" s="2877"/>
      <c r="L68" s="2878"/>
      <c r="M68" s="2877"/>
      <c r="N68" s="2877"/>
      <c r="O68" s="2878"/>
      <c r="P68" s="2877"/>
      <c r="Q68" s="2877"/>
      <c r="R68" s="2879"/>
    </row>
    <row r="69" s="2395" customFormat="1" spans="2:18">
      <c r="B69" s="2877"/>
      <c r="C69" s="2877"/>
      <c r="D69" s="2877"/>
      <c r="E69" s="2877"/>
      <c r="F69" s="2877"/>
      <c r="G69" s="2878"/>
      <c r="H69" s="2877"/>
      <c r="I69" s="2878"/>
      <c r="J69" s="2877"/>
      <c r="K69" s="2877"/>
      <c r="L69" s="2878"/>
      <c r="M69" s="2877"/>
      <c r="N69" s="2877"/>
      <c r="O69" s="2878"/>
      <c r="P69" s="2877"/>
      <c r="Q69" s="2877"/>
      <c r="R69" s="2879"/>
    </row>
    <row r="70" s="2395" customFormat="1" spans="2:18">
      <c r="B70" s="2877"/>
      <c r="C70" s="2877"/>
      <c r="D70" s="2877"/>
      <c r="E70" s="2877"/>
      <c r="F70" s="2877"/>
      <c r="G70" s="2878"/>
      <c r="H70" s="2877"/>
      <c r="I70" s="2878"/>
      <c r="J70" s="2877"/>
      <c r="K70" s="2877"/>
      <c r="L70" s="2878"/>
      <c r="M70" s="2877"/>
      <c r="N70" s="2877"/>
      <c r="O70" s="2878"/>
      <c r="P70" s="2877"/>
      <c r="Q70" s="2877"/>
      <c r="R70" s="2879"/>
    </row>
    <row r="71" s="2395" customFormat="1" spans="2:18">
      <c r="B71" s="2877"/>
      <c r="C71" s="2877"/>
      <c r="D71" s="2877"/>
      <c r="E71" s="2877"/>
      <c r="F71" s="2877"/>
      <c r="G71" s="2878"/>
      <c r="H71" s="2877"/>
      <c r="I71" s="2878"/>
      <c r="J71" s="2877"/>
      <c r="K71" s="2877"/>
      <c r="L71" s="2878"/>
      <c r="M71" s="2877"/>
      <c r="N71" s="2877"/>
      <c r="O71" s="2878"/>
      <c r="P71" s="2877"/>
      <c r="Q71" s="2877"/>
      <c r="R71" s="2879"/>
    </row>
    <row r="72" s="2395" customFormat="1" spans="2:18">
      <c r="B72" s="2877"/>
      <c r="C72" s="2877"/>
      <c r="D72" s="2877"/>
      <c r="E72" s="2877"/>
      <c r="F72" s="2877"/>
      <c r="G72" s="2878"/>
      <c r="H72" s="2877"/>
      <c r="I72" s="2878"/>
      <c r="J72" s="2877"/>
      <c r="K72" s="2877"/>
      <c r="L72" s="2878"/>
      <c r="M72" s="2877"/>
      <c r="N72" s="2877"/>
      <c r="O72" s="2878"/>
      <c r="P72" s="2877"/>
      <c r="Q72" s="2877"/>
      <c r="R72" s="2879"/>
    </row>
    <row r="73" s="2395" customFormat="1" spans="2:18">
      <c r="B73" s="2877"/>
      <c r="C73" s="2877"/>
      <c r="D73" s="2877"/>
      <c r="E73" s="2877"/>
      <c r="F73" s="2877"/>
      <c r="G73" s="2878"/>
      <c r="H73" s="2877"/>
      <c r="I73" s="2878"/>
      <c r="J73" s="2877"/>
      <c r="K73" s="2877"/>
      <c r="L73" s="2878"/>
      <c r="M73" s="2877"/>
      <c r="N73" s="2877"/>
      <c r="O73" s="2878"/>
      <c r="P73" s="2877"/>
      <c r="Q73" s="2877"/>
      <c r="R73" s="2879"/>
    </row>
    <row r="74" s="2395" customFormat="1" spans="2:18">
      <c r="B74" s="2877"/>
      <c r="C74" s="2877"/>
      <c r="D74" s="2877"/>
      <c r="E74" s="2877"/>
      <c r="F74" s="2877"/>
      <c r="G74" s="2878"/>
      <c r="H74" s="2877"/>
      <c r="I74" s="2878"/>
      <c r="J74" s="2877"/>
      <c r="K74" s="2877"/>
      <c r="L74" s="2878"/>
      <c r="M74" s="2877"/>
      <c r="N74" s="2877"/>
      <c r="O74" s="2878"/>
      <c r="P74" s="2877"/>
      <c r="Q74" s="2877"/>
      <c r="R74" s="2879"/>
    </row>
    <row r="75" s="2395" customFormat="1" spans="2:18">
      <c r="B75" s="2877"/>
      <c r="C75" s="2877"/>
      <c r="D75" s="2877"/>
      <c r="E75" s="2877"/>
      <c r="F75" s="2877"/>
      <c r="G75" s="2878"/>
      <c r="H75" s="2877"/>
      <c r="I75" s="2878"/>
      <c r="J75" s="2877"/>
      <c r="K75" s="2877"/>
      <c r="L75" s="2878"/>
      <c r="M75" s="2877"/>
      <c r="N75" s="2877"/>
      <c r="O75" s="2878"/>
      <c r="P75" s="2877"/>
      <c r="Q75" s="2877"/>
      <c r="R75" s="2879"/>
    </row>
    <row r="76" s="2395" customFormat="1" spans="2:18">
      <c r="B76" s="2877"/>
      <c r="C76" s="2877"/>
      <c r="D76" s="2877"/>
      <c r="E76" s="2877"/>
      <c r="F76" s="2877"/>
      <c r="G76" s="2878"/>
      <c r="H76" s="2877"/>
      <c r="I76" s="2878"/>
      <c r="J76" s="2877"/>
      <c r="K76" s="2877"/>
      <c r="L76" s="2878"/>
      <c r="M76" s="2877"/>
      <c r="N76" s="2877"/>
      <c r="O76" s="2878"/>
      <c r="P76" s="2877"/>
      <c r="Q76" s="2877"/>
      <c r="R76" s="2879"/>
    </row>
    <row r="77" s="2395" customFormat="1" spans="2:18">
      <c r="B77" s="2877"/>
      <c r="C77" s="2877"/>
      <c r="D77" s="2877"/>
      <c r="E77" s="2877"/>
      <c r="F77" s="2877"/>
      <c r="G77" s="2878"/>
      <c r="H77" s="2877"/>
      <c r="I77" s="2878"/>
      <c r="J77" s="2877"/>
      <c r="K77" s="2877"/>
      <c r="L77" s="2878"/>
      <c r="M77" s="2877"/>
      <c r="N77" s="2877"/>
      <c r="O77" s="2878"/>
      <c r="P77" s="2877"/>
      <c r="Q77" s="2877"/>
      <c r="R77" s="2879"/>
    </row>
    <row r="78" s="2395" customFormat="1" spans="2:18">
      <c r="B78" s="2877"/>
      <c r="C78" s="2877"/>
      <c r="D78" s="2877"/>
      <c r="E78" s="2877"/>
      <c r="F78" s="2877"/>
      <c r="G78" s="2878"/>
      <c r="H78" s="2877"/>
      <c r="I78" s="2878"/>
      <c r="J78" s="2877"/>
      <c r="K78" s="2877"/>
      <c r="L78" s="2878"/>
      <c r="M78" s="2877"/>
      <c r="N78" s="2877"/>
      <c r="O78" s="2878"/>
      <c r="P78" s="2877"/>
      <c r="Q78" s="2877"/>
      <c r="R78" s="2879"/>
    </row>
    <row r="79" s="2395" customFormat="1" spans="2:18">
      <c r="B79" s="2877"/>
      <c r="C79" s="2877"/>
      <c r="D79" s="2877"/>
      <c r="E79" s="2877"/>
      <c r="F79" s="2877"/>
      <c r="G79" s="2878"/>
      <c r="H79" s="2877"/>
      <c r="I79" s="2878"/>
      <c r="J79" s="2877"/>
      <c r="K79" s="2877"/>
      <c r="L79" s="2878"/>
      <c r="M79" s="2877"/>
      <c r="N79" s="2877"/>
      <c r="O79" s="2878"/>
      <c r="P79" s="2877"/>
      <c r="Q79" s="2877"/>
      <c r="R79" s="2879"/>
    </row>
    <row r="80" s="2395" customFormat="1" spans="2:18">
      <c r="B80" s="2877"/>
      <c r="C80" s="2877"/>
      <c r="D80" s="2877"/>
      <c r="E80" s="2877"/>
      <c r="F80" s="2877"/>
      <c r="G80" s="2878"/>
      <c r="H80" s="2877"/>
      <c r="I80" s="2878"/>
      <c r="J80" s="2877"/>
      <c r="K80" s="2877"/>
      <c r="L80" s="2878"/>
      <c r="M80" s="2877"/>
      <c r="N80" s="2877"/>
      <c r="O80" s="2878"/>
      <c r="P80" s="2877"/>
      <c r="Q80" s="2877"/>
      <c r="R80" s="2879"/>
    </row>
    <row r="81" s="2395" customFormat="1" spans="2:18">
      <c r="B81" s="2877"/>
      <c r="C81" s="2877"/>
      <c r="D81" s="2877"/>
      <c r="E81" s="2877"/>
      <c r="F81" s="2877"/>
      <c r="G81" s="2878"/>
      <c r="H81" s="2877"/>
      <c r="I81" s="2878"/>
      <c r="J81" s="2877"/>
      <c r="K81" s="2877"/>
      <c r="L81" s="2878"/>
      <c r="M81" s="2877"/>
      <c r="N81" s="2877"/>
      <c r="O81" s="2878"/>
      <c r="P81" s="2877"/>
      <c r="Q81" s="2877"/>
      <c r="R81" s="2879"/>
    </row>
    <row r="82" s="2395" customFormat="1" spans="2:18">
      <c r="B82" s="2877"/>
      <c r="C82" s="2877"/>
      <c r="D82" s="2877"/>
      <c r="E82" s="2877"/>
      <c r="F82" s="2877"/>
      <c r="G82" s="2878"/>
      <c r="H82" s="2877"/>
      <c r="I82" s="2878"/>
      <c r="J82" s="2877"/>
      <c r="K82" s="2877"/>
      <c r="L82" s="2878"/>
      <c r="M82" s="2877"/>
      <c r="N82" s="2877"/>
      <c r="O82" s="2878"/>
      <c r="P82" s="2877"/>
      <c r="Q82" s="2877"/>
      <c r="R82" s="2879"/>
    </row>
    <row r="83" s="2395" customFormat="1" spans="2:18">
      <c r="B83" s="2877"/>
      <c r="C83" s="2877"/>
      <c r="D83" s="2877"/>
      <c r="E83" s="2877"/>
      <c r="F83" s="2877"/>
      <c r="G83" s="2878"/>
      <c r="H83" s="2877"/>
      <c r="I83" s="2878"/>
      <c r="J83" s="2877"/>
      <c r="K83" s="2877"/>
      <c r="L83" s="2878"/>
      <c r="M83" s="2877"/>
      <c r="N83" s="2877"/>
      <c r="O83" s="2878"/>
      <c r="P83" s="2877"/>
      <c r="Q83" s="2877"/>
      <c r="R83" s="2879"/>
    </row>
    <row r="84" s="2395" customFormat="1" spans="2:18">
      <c r="B84" s="2877"/>
      <c r="C84" s="2877"/>
      <c r="D84" s="2877"/>
      <c r="E84" s="2877"/>
      <c r="F84" s="2877"/>
      <c r="G84" s="2878"/>
      <c r="H84" s="2877"/>
      <c r="I84" s="2878"/>
      <c r="J84" s="2877"/>
      <c r="K84" s="2877"/>
      <c r="L84" s="2878"/>
      <c r="M84" s="2877"/>
      <c r="N84" s="2877"/>
      <c r="O84" s="2878"/>
      <c r="P84" s="2877"/>
      <c r="Q84" s="2877"/>
      <c r="R84" s="2879"/>
    </row>
    <row r="85" s="2395" customFormat="1" spans="2:18">
      <c r="B85" s="2877"/>
      <c r="C85" s="2877"/>
      <c r="D85" s="2877"/>
      <c r="E85" s="2877"/>
      <c r="F85" s="2877"/>
      <c r="G85" s="2878"/>
      <c r="H85" s="2877"/>
      <c r="I85" s="2878"/>
      <c r="J85" s="2877"/>
      <c r="K85" s="2877"/>
      <c r="L85" s="2878"/>
      <c r="M85" s="2877"/>
      <c r="N85" s="2877"/>
      <c r="O85" s="2878"/>
      <c r="P85" s="2877"/>
      <c r="Q85" s="2877"/>
      <c r="R85" s="2879"/>
    </row>
    <row r="86" s="2395" customFormat="1" spans="2:18">
      <c r="B86" s="2877"/>
      <c r="C86" s="2877"/>
      <c r="D86" s="2877"/>
      <c r="E86" s="2877"/>
      <c r="F86" s="2877"/>
      <c r="G86" s="2878"/>
      <c r="H86" s="2877"/>
      <c r="I86" s="2878"/>
      <c r="J86" s="2877"/>
      <c r="K86" s="2877"/>
      <c r="L86" s="2878"/>
      <c r="M86" s="2877"/>
      <c r="N86" s="2877"/>
      <c r="O86" s="2878"/>
      <c r="P86" s="2877"/>
      <c r="Q86" s="2877"/>
      <c r="R86" s="2879"/>
    </row>
    <row r="87" s="2395" customFormat="1" spans="2:18">
      <c r="B87" s="2877"/>
      <c r="C87" s="2877"/>
      <c r="D87" s="2877"/>
      <c r="E87" s="2877"/>
      <c r="F87" s="2877"/>
      <c r="G87" s="2878"/>
      <c r="H87" s="2877"/>
      <c r="I87" s="2878"/>
      <c r="J87" s="2877"/>
      <c r="K87" s="2877"/>
      <c r="L87" s="2878"/>
      <c r="M87" s="2877"/>
      <c r="N87" s="2877"/>
      <c r="O87" s="2878"/>
      <c r="P87" s="2877"/>
      <c r="Q87" s="2877"/>
      <c r="R87" s="2879"/>
    </row>
    <row r="88" s="2395" customFormat="1" spans="2:18">
      <c r="B88" s="2877"/>
      <c r="C88" s="2877"/>
      <c r="D88" s="2877"/>
      <c r="E88" s="2877"/>
      <c r="F88" s="2877"/>
      <c r="G88" s="2878"/>
      <c r="H88" s="2877"/>
      <c r="I88" s="2878"/>
      <c r="J88" s="2877"/>
      <c r="K88" s="2877"/>
      <c r="L88" s="2878"/>
      <c r="M88" s="2877"/>
      <c r="N88" s="2877"/>
      <c r="O88" s="2878"/>
      <c r="P88" s="2877"/>
      <c r="Q88" s="2877"/>
      <c r="R88" s="2879"/>
    </row>
    <row r="89" s="2395" customFormat="1" spans="2:18">
      <c r="B89" s="2877"/>
      <c r="C89" s="2877"/>
      <c r="D89" s="2877"/>
      <c r="E89" s="2877"/>
      <c r="F89" s="2877"/>
      <c r="G89" s="2878"/>
      <c r="H89" s="2877"/>
      <c r="I89" s="2878"/>
      <c r="J89" s="2877"/>
      <c r="K89" s="2877"/>
      <c r="L89" s="2878"/>
      <c r="M89" s="2877"/>
      <c r="N89" s="2877"/>
      <c r="O89" s="2878"/>
      <c r="P89" s="2877"/>
      <c r="Q89" s="2877"/>
      <c r="R89" s="2879"/>
    </row>
    <row r="90" s="2395" customFormat="1" spans="2:18">
      <c r="B90" s="2877"/>
      <c r="C90" s="2877"/>
      <c r="D90" s="2877"/>
      <c r="E90" s="2877"/>
      <c r="F90" s="2877"/>
      <c r="G90" s="2878"/>
      <c r="H90" s="2877"/>
      <c r="I90" s="2878"/>
      <c r="J90" s="2877"/>
      <c r="K90" s="2877"/>
      <c r="L90" s="2878"/>
      <c r="M90" s="2877"/>
      <c r="N90" s="2877"/>
      <c r="O90" s="2878"/>
      <c r="P90" s="2877"/>
      <c r="Q90" s="2877"/>
      <c r="R90" s="2879"/>
    </row>
    <row r="91" s="2395" customFormat="1" spans="2:18">
      <c r="B91" s="2877"/>
      <c r="C91" s="2877"/>
      <c r="D91" s="2877"/>
      <c r="E91" s="2877"/>
      <c r="F91" s="2877"/>
      <c r="G91" s="2878"/>
      <c r="H91" s="2877"/>
      <c r="I91" s="2878"/>
      <c r="J91" s="2877"/>
      <c r="K91" s="2877"/>
      <c r="L91" s="2878"/>
      <c r="M91" s="2877"/>
      <c r="N91" s="2877"/>
      <c r="O91" s="2878"/>
      <c r="P91" s="2877"/>
      <c r="Q91" s="2877"/>
      <c r="R91" s="2879"/>
    </row>
    <row r="92" s="2395" customFormat="1" spans="2:18">
      <c r="B92" s="2877"/>
      <c r="C92" s="2877"/>
      <c r="D92" s="2877"/>
      <c r="E92" s="2877"/>
      <c r="F92" s="2877"/>
      <c r="G92" s="2878"/>
      <c r="H92" s="2877"/>
      <c r="I92" s="2878"/>
      <c r="J92" s="2877"/>
      <c r="K92" s="2877"/>
      <c r="L92" s="2878"/>
      <c r="M92" s="2877"/>
      <c r="N92" s="2877"/>
      <c r="O92" s="2878"/>
      <c r="P92" s="2877"/>
      <c r="Q92" s="2877"/>
      <c r="R92" s="2879"/>
    </row>
    <row r="93" s="2395" customFormat="1" spans="2:18">
      <c r="B93" s="2877"/>
      <c r="C93" s="2877"/>
      <c r="D93" s="2877"/>
      <c r="E93" s="2877"/>
      <c r="F93" s="2877"/>
      <c r="G93" s="2878"/>
      <c r="H93" s="2877"/>
      <c r="I93" s="2878"/>
      <c r="J93" s="2877"/>
      <c r="K93" s="2877"/>
      <c r="L93" s="2878"/>
      <c r="M93" s="2877"/>
      <c r="N93" s="2877"/>
      <c r="O93" s="2878"/>
      <c r="P93" s="2877"/>
      <c r="Q93" s="2877"/>
      <c r="R93" s="2879"/>
    </row>
    <row r="94" s="2395" customFormat="1" spans="2:18">
      <c r="B94" s="2877"/>
      <c r="C94" s="2877"/>
      <c r="D94" s="2877"/>
      <c r="E94" s="2877"/>
      <c r="F94" s="2877"/>
      <c r="G94" s="2878"/>
      <c r="H94" s="2877"/>
      <c r="I94" s="2878"/>
      <c r="J94" s="2877"/>
      <c r="K94" s="2877"/>
      <c r="L94" s="2878"/>
      <c r="M94" s="2877"/>
      <c r="N94" s="2877"/>
      <c r="O94" s="2878"/>
      <c r="P94" s="2877"/>
      <c r="Q94" s="2877"/>
      <c r="R94" s="2879"/>
    </row>
    <row r="95" s="2395" customFormat="1" spans="2:18">
      <c r="B95" s="2877"/>
      <c r="C95" s="2877"/>
      <c r="D95" s="2877"/>
      <c r="E95" s="2877"/>
      <c r="F95" s="2877"/>
      <c r="G95" s="2878"/>
      <c r="H95" s="2877"/>
      <c r="I95" s="2878"/>
      <c r="J95" s="2877"/>
      <c r="K95" s="2877"/>
      <c r="L95" s="2878"/>
      <c r="M95" s="2877"/>
      <c r="N95" s="2877"/>
      <c r="O95" s="2878"/>
      <c r="P95" s="2877"/>
      <c r="Q95" s="2877"/>
      <c r="R95" s="2879"/>
    </row>
    <row r="96" s="2395" customFormat="1" spans="2:18">
      <c r="B96" s="2877"/>
      <c r="C96" s="2877"/>
      <c r="D96" s="2877"/>
      <c r="E96" s="2877"/>
      <c r="F96" s="2877"/>
      <c r="G96" s="2878"/>
      <c r="H96" s="2877"/>
      <c r="I96" s="2878"/>
      <c r="J96" s="2877"/>
      <c r="K96" s="2877"/>
      <c r="L96" s="2878"/>
      <c r="M96" s="2877"/>
      <c r="N96" s="2877"/>
      <c r="O96" s="2878"/>
      <c r="P96" s="2877"/>
      <c r="Q96" s="2877"/>
      <c r="R96" s="2879"/>
    </row>
    <row r="97" s="2395" customFormat="1" spans="2:18">
      <c r="B97" s="2877"/>
      <c r="C97" s="2877"/>
      <c r="D97" s="2877"/>
      <c r="E97" s="2877"/>
      <c r="F97" s="2877"/>
      <c r="G97" s="2878"/>
      <c r="H97" s="2877"/>
      <c r="I97" s="2878"/>
      <c r="J97" s="2877"/>
      <c r="K97" s="2877"/>
      <c r="L97" s="2878"/>
      <c r="M97" s="2877"/>
      <c r="N97" s="2877"/>
      <c r="O97" s="2878"/>
      <c r="P97" s="2877"/>
      <c r="Q97" s="2877"/>
      <c r="R97" s="2879"/>
    </row>
    <row r="98" s="2395" customFormat="1" spans="2:18">
      <c r="B98" s="2877"/>
      <c r="C98" s="2877"/>
      <c r="D98" s="2877"/>
      <c r="E98" s="2877"/>
      <c r="F98" s="2877"/>
      <c r="G98" s="2878"/>
      <c r="H98" s="2877"/>
      <c r="I98" s="2878"/>
      <c r="J98" s="2877"/>
      <c r="K98" s="2877"/>
      <c r="L98" s="2878"/>
      <c r="M98" s="2877"/>
      <c r="N98" s="2877"/>
      <c r="O98" s="2878"/>
      <c r="P98" s="2877"/>
      <c r="Q98" s="2877"/>
      <c r="R98" s="2879"/>
    </row>
    <row r="99" s="2395" customFormat="1" spans="2:18">
      <c r="B99" s="2877"/>
      <c r="C99" s="2877"/>
      <c r="D99" s="2877"/>
      <c r="E99" s="2877"/>
      <c r="F99" s="2877"/>
      <c r="G99" s="2878"/>
      <c r="H99" s="2877"/>
      <c r="I99" s="2878"/>
      <c r="J99" s="2877"/>
      <c r="K99" s="2877"/>
      <c r="L99" s="2878"/>
      <c r="M99" s="2877"/>
      <c r="N99" s="2877"/>
      <c r="O99" s="2878"/>
      <c r="P99" s="2877"/>
      <c r="Q99" s="2877"/>
      <c r="R99" s="2879"/>
    </row>
    <row r="100" s="2395" customFormat="1" spans="2:18">
      <c r="B100" s="2877"/>
      <c r="C100" s="2877"/>
      <c r="D100" s="2877"/>
      <c r="E100" s="2877"/>
      <c r="F100" s="2877"/>
      <c r="G100" s="2878"/>
      <c r="H100" s="2877"/>
      <c r="I100" s="2878"/>
      <c r="J100" s="2877"/>
      <c r="K100" s="2877"/>
      <c r="L100" s="2878"/>
      <c r="M100" s="2877"/>
      <c r="N100" s="2877"/>
      <c r="O100" s="2878"/>
      <c r="P100" s="2877"/>
      <c r="Q100" s="2877"/>
      <c r="R100" s="2879"/>
    </row>
    <row r="101" s="2395" customFormat="1" spans="2:18">
      <c r="B101" s="2877"/>
      <c r="C101" s="2877"/>
      <c r="D101" s="2877"/>
      <c r="E101" s="2877"/>
      <c r="F101" s="2877"/>
      <c r="G101" s="2878"/>
      <c r="H101" s="2877"/>
      <c r="I101" s="2878"/>
      <c r="J101" s="2877"/>
      <c r="K101" s="2877"/>
      <c r="L101" s="2878"/>
      <c r="M101" s="2877"/>
      <c r="N101" s="2877"/>
      <c r="O101" s="2878"/>
      <c r="P101" s="2877"/>
      <c r="Q101" s="2877"/>
      <c r="R101" s="2879"/>
    </row>
    <row r="102" s="2395" customFormat="1" spans="2:18">
      <c r="B102" s="2877"/>
      <c r="C102" s="2877"/>
      <c r="D102" s="2877"/>
      <c r="E102" s="2877"/>
      <c r="F102" s="2877"/>
      <c r="G102" s="2878"/>
      <c r="H102" s="2877"/>
      <c r="I102" s="2878"/>
      <c r="J102" s="2877"/>
      <c r="K102" s="2877"/>
      <c r="L102" s="2878"/>
      <c r="M102" s="2877"/>
      <c r="N102" s="2877"/>
      <c r="O102" s="2878"/>
      <c r="P102" s="2877"/>
      <c r="Q102" s="2877"/>
      <c r="R102" s="2879"/>
    </row>
    <row r="103" s="2395" customFormat="1" spans="2:18">
      <c r="B103" s="2877"/>
      <c r="C103" s="2877"/>
      <c r="D103" s="2877"/>
      <c r="E103" s="2877"/>
      <c r="F103" s="2877"/>
      <c r="G103" s="2878"/>
      <c r="H103" s="2877"/>
      <c r="I103" s="2878"/>
      <c r="J103" s="2877"/>
      <c r="K103" s="2877"/>
      <c r="L103" s="2878"/>
      <c r="M103" s="2877"/>
      <c r="N103" s="2877"/>
      <c r="O103" s="2878"/>
      <c r="P103" s="2877"/>
      <c r="Q103" s="2877"/>
      <c r="R103" s="2879"/>
    </row>
    <row r="104" s="2395" customFormat="1" spans="2:18">
      <c r="B104" s="2877"/>
      <c r="C104" s="2877"/>
      <c r="D104" s="2877"/>
      <c r="E104" s="2877"/>
      <c r="F104" s="2877"/>
      <c r="G104" s="2878"/>
      <c r="H104" s="2877"/>
      <c r="I104" s="2878"/>
      <c r="J104" s="2877"/>
      <c r="K104" s="2877"/>
      <c r="L104" s="2878"/>
      <c r="M104" s="2877"/>
      <c r="N104" s="2877"/>
      <c r="O104" s="2878"/>
      <c r="P104" s="2877"/>
      <c r="Q104" s="2877"/>
      <c r="R104" s="2879"/>
    </row>
    <row r="105" s="2395" customFormat="1" spans="2:18">
      <c r="B105" s="2877"/>
      <c r="C105" s="2877"/>
      <c r="D105" s="2877"/>
      <c r="E105" s="2877"/>
      <c r="F105" s="2877"/>
      <c r="G105" s="2878"/>
      <c r="H105" s="2877"/>
      <c r="I105" s="2878"/>
      <c r="J105" s="2877"/>
      <c r="K105" s="2877"/>
      <c r="L105" s="2878"/>
      <c r="M105" s="2877"/>
      <c r="N105" s="2877"/>
      <c r="O105" s="2878"/>
      <c r="P105" s="2877"/>
      <c r="Q105" s="2877"/>
      <c r="R105" s="2879"/>
    </row>
    <row r="106" s="2395" customFormat="1" spans="2:18">
      <c r="B106" s="2877"/>
      <c r="C106" s="2877"/>
      <c r="D106" s="2877"/>
      <c r="E106" s="2877"/>
      <c r="F106" s="2877"/>
      <c r="G106" s="2878"/>
      <c r="H106" s="2877"/>
      <c r="I106" s="2878"/>
      <c r="J106" s="2877"/>
      <c r="K106" s="2877"/>
      <c r="L106" s="2878"/>
      <c r="M106" s="2877"/>
      <c r="N106" s="2877"/>
      <c r="O106" s="2878"/>
      <c r="P106" s="2877"/>
      <c r="Q106" s="2877"/>
      <c r="R106" s="2879"/>
    </row>
    <row r="107" s="2395" customFormat="1" spans="2:18">
      <c r="B107" s="2877"/>
      <c r="C107" s="2877"/>
      <c r="D107" s="2877"/>
      <c r="E107" s="2877"/>
      <c r="F107" s="2877"/>
      <c r="G107" s="2878"/>
      <c r="H107" s="2877"/>
      <c r="I107" s="2878"/>
      <c r="J107" s="2877"/>
      <c r="K107" s="2877"/>
      <c r="L107" s="2878"/>
      <c r="M107" s="2877"/>
      <c r="N107" s="2877"/>
      <c r="O107" s="2878"/>
      <c r="P107" s="2877"/>
      <c r="Q107" s="2877"/>
      <c r="R107" s="2879"/>
    </row>
    <row r="108" s="2395" customFormat="1" spans="2:18">
      <c r="B108" s="2877"/>
      <c r="C108" s="2877"/>
      <c r="D108" s="2877"/>
      <c r="E108" s="2877"/>
      <c r="F108" s="2877"/>
      <c r="G108" s="2878"/>
      <c r="H108" s="2877"/>
      <c r="I108" s="2878"/>
      <c r="J108" s="2877"/>
      <c r="K108" s="2877"/>
      <c r="L108" s="2878"/>
      <c r="M108" s="2877"/>
      <c r="N108" s="2877"/>
      <c r="O108" s="2878"/>
      <c r="P108" s="2877"/>
      <c r="Q108" s="2877"/>
      <c r="R108" s="2879"/>
    </row>
    <row r="109" s="2395" customFormat="1" spans="2:18">
      <c r="B109" s="2877"/>
      <c r="C109" s="2877"/>
      <c r="D109" s="2877"/>
      <c r="E109" s="2877"/>
      <c r="F109" s="2877"/>
      <c r="G109" s="2878"/>
      <c r="H109" s="2877"/>
      <c r="I109" s="2878"/>
      <c r="J109" s="2877"/>
      <c r="K109" s="2877"/>
      <c r="L109" s="2878"/>
      <c r="M109" s="2877"/>
      <c r="N109" s="2877"/>
      <c r="O109" s="2878"/>
      <c r="P109" s="2877"/>
      <c r="Q109" s="2877"/>
      <c r="R109" s="2879"/>
    </row>
    <row r="110" s="2395" customFormat="1" spans="2:18">
      <c r="B110" s="2877"/>
      <c r="C110" s="2877"/>
      <c r="D110" s="2877"/>
      <c r="E110" s="2877"/>
      <c r="F110" s="2877"/>
      <c r="G110" s="2878"/>
      <c r="H110" s="2877"/>
      <c r="I110" s="2878"/>
      <c r="J110" s="2877"/>
      <c r="K110" s="2877"/>
      <c r="L110" s="2878"/>
      <c r="M110" s="2877"/>
      <c r="N110" s="2877"/>
      <c r="O110" s="2878"/>
      <c r="P110" s="2877"/>
      <c r="Q110" s="2877"/>
      <c r="R110" s="2879"/>
    </row>
    <row r="111" s="2395" customFormat="1" spans="2:18">
      <c r="B111" s="2877"/>
      <c r="C111" s="2877"/>
      <c r="D111" s="2877"/>
      <c r="E111" s="2877"/>
      <c r="F111" s="2877"/>
      <c r="G111" s="2878"/>
      <c r="H111" s="2877"/>
      <c r="I111" s="2878"/>
      <c r="J111" s="2877"/>
      <c r="K111" s="2877"/>
      <c r="L111" s="2878"/>
      <c r="M111" s="2877"/>
      <c r="N111" s="2877"/>
      <c r="O111" s="2878"/>
      <c r="P111" s="2877"/>
      <c r="Q111" s="2877"/>
      <c r="R111" s="2879"/>
    </row>
    <row r="112" s="2395" customFormat="1" spans="2:18">
      <c r="B112" s="2877"/>
      <c r="C112" s="2877"/>
      <c r="D112" s="2877"/>
      <c r="E112" s="2877"/>
      <c r="F112" s="2877"/>
      <c r="G112" s="2878"/>
      <c r="H112" s="2877"/>
      <c r="I112" s="2878"/>
      <c r="J112" s="2877"/>
      <c r="K112" s="2877"/>
      <c r="L112" s="2878"/>
      <c r="M112" s="2877"/>
      <c r="N112" s="2877"/>
      <c r="O112" s="2878"/>
      <c r="P112" s="2877"/>
      <c r="Q112" s="2877"/>
      <c r="R112" s="2879"/>
    </row>
    <row r="113" s="2395" customFormat="1" spans="2:18">
      <c r="B113" s="2877"/>
      <c r="C113" s="2877"/>
      <c r="D113" s="2877"/>
      <c r="E113" s="2877"/>
      <c r="F113" s="2877"/>
      <c r="G113" s="2878"/>
      <c r="H113" s="2877"/>
      <c r="I113" s="2878"/>
      <c r="J113" s="2877"/>
      <c r="K113" s="2877"/>
      <c r="L113" s="2878"/>
      <c r="M113" s="2877"/>
      <c r="N113" s="2877"/>
      <c r="O113" s="2878"/>
      <c r="P113" s="2877"/>
      <c r="Q113" s="2877"/>
      <c r="R113" s="2879"/>
    </row>
    <row r="114" s="2395" customFormat="1" spans="2:18">
      <c r="B114" s="2877"/>
      <c r="C114" s="2877"/>
      <c r="D114" s="2877"/>
      <c r="E114" s="2877"/>
      <c r="F114" s="2877"/>
      <c r="G114" s="2878"/>
      <c r="H114" s="2877"/>
      <c r="I114" s="2878"/>
      <c r="J114" s="2877"/>
      <c r="K114" s="2877"/>
      <c r="L114" s="2878"/>
      <c r="M114" s="2877"/>
      <c r="N114" s="2877"/>
      <c r="O114" s="2878"/>
      <c r="P114" s="2877"/>
      <c r="Q114" s="2877"/>
      <c r="R114" s="2879"/>
    </row>
    <row r="115" s="2395" customFormat="1" spans="2:18">
      <c r="B115" s="2877"/>
      <c r="C115" s="2877"/>
      <c r="D115" s="2877"/>
      <c r="E115" s="2877"/>
      <c r="F115" s="2877"/>
      <c r="G115" s="2878"/>
      <c r="H115" s="2877"/>
      <c r="I115" s="2878"/>
      <c r="J115" s="2877"/>
      <c r="K115" s="2877"/>
      <c r="L115" s="2878"/>
      <c r="M115" s="2877"/>
      <c r="N115" s="2877"/>
      <c r="O115" s="2878"/>
      <c r="P115" s="2877"/>
      <c r="Q115" s="2877"/>
      <c r="R115" s="2879"/>
    </row>
    <row r="116" s="2395" customFormat="1" spans="2:18">
      <c r="B116" s="2877"/>
      <c r="C116" s="2877"/>
      <c r="D116" s="2877"/>
      <c r="E116" s="2877"/>
      <c r="F116" s="2877"/>
      <c r="G116" s="2878"/>
      <c r="H116" s="2877"/>
      <c r="I116" s="2878"/>
      <c r="J116" s="2877"/>
      <c r="K116" s="2877"/>
      <c r="L116" s="2878"/>
      <c r="M116" s="2877"/>
      <c r="N116" s="2877"/>
      <c r="O116" s="2878"/>
      <c r="P116" s="2877"/>
      <c r="Q116" s="2877"/>
      <c r="R116" s="2879"/>
    </row>
    <row r="117" s="2395" customFormat="1" spans="2:18">
      <c r="B117" s="2877"/>
      <c r="C117" s="2877"/>
      <c r="D117" s="2877"/>
      <c r="E117" s="2877"/>
      <c r="F117" s="2877"/>
      <c r="G117" s="2878"/>
      <c r="H117" s="2877"/>
      <c r="I117" s="2878"/>
      <c r="J117" s="2877"/>
      <c r="K117" s="2877"/>
      <c r="L117" s="2878"/>
      <c r="M117" s="2877"/>
      <c r="N117" s="2877"/>
      <c r="O117" s="2878"/>
      <c r="P117" s="2877"/>
      <c r="Q117" s="2877"/>
      <c r="R117" s="2879"/>
    </row>
    <row r="118" s="2395" customFormat="1" spans="2:18">
      <c r="B118" s="2877"/>
      <c r="C118" s="2877"/>
      <c r="D118" s="2877"/>
      <c r="E118" s="2877"/>
      <c r="F118" s="2877"/>
      <c r="G118" s="2878"/>
      <c r="H118" s="2877"/>
      <c r="I118" s="2878"/>
      <c r="J118" s="2877"/>
      <c r="K118" s="2877"/>
      <c r="L118" s="2878"/>
      <c r="M118" s="2877"/>
      <c r="N118" s="2877"/>
      <c r="O118" s="2878"/>
      <c r="P118" s="2877"/>
      <c r="Q118" s="2877"/>
      <c r="R118" s="2879"/>
    </row>
    <row r="119" s="2395" customFormat="1" spans="2:18">
      <c r="B119" s="2877"/>
      <c r="C119" s="2877"/>
      <c r="D119" s="2877"/>
      <c r="E119" s="2877"/>
      <c r="F119" s="2877"/>
      <c r="G119" s="2878"/>
      <c r="H119" s="2877"/>
      <c r="I119" s="2878"/>
      <c r="J119" s="2877"/>
      <c r="K119" s="2877"/>
      <c r="L119" s="2878"/>
      <c r="M119" s="2877"/>
      <c r="N119" s="2877"/>
      <c r="O119" s="2878"/>
      <c r="P119" s="2877"/>
      <c r="Q119" s="2877"/>
      <c r="R119" s="2879"/>
    </row>
    <row r="120" s="2395" customFormat="1" spans="2:18">
      <c r="B120" s="2877"/>
      <c r="C120" s="2877"/>
      <c r="D120" s="2877"/>
      <c r="E120" s="2877"/>
      <c r="F120" s="2877"/>
      <c r="G120" s="2878"/>
      <c r="H120" s="2877"/>
      <c r="I120" s="2878"/>
      <c r="J120" s="2877"/>
      <c r="K120" s="2877"/>
      <c r="L120" s="2878"/>
      <c r="M120" s="2877"/>
      <c r="N120" s="2877"/>
      <c r="O120" s="2878"/>
      <c r="P120" s="2877"/>
      <c r="Q120" s="2877"/>
      <c r="R120" s="2879"/>
    </row>
    <row r="121" s="2395" customFormat="1" spans="2:18">
      <c r="B121" s="2877"/>
      <c r="C121" s="2877"/>
      <c r="D121" s="2877"/>
      <c r="E121" s="2877"/>
      <c r="F121" s="2877"/>
      <c r="G121" s="2878"/>
      <c r="H121" s="2877"/>
      <c r="I121" s="2878"/>
      <c r="J121" s="2877"/>
      <c r="K121" s="2877"/>
      <c r="L121" s="2878"/>
      <c r="M121" s="2877"/>
      <c r="N121" s="2877"/>
      <c r="O121" s="2878"/>
      <c r="P121" s="2877"/>
      <c r="Q121" s="2877"/>
      <c r="R121" s="2879"/>
    </row>
    <row r="122" s="2395" customFormat="1" spans="2:18">
      <c r="B122" s="2877"/>
      <c r="C122" s="2877"/>
      <c r="D122" s="2877"/>
      <c r="E122" s="2877"/>
      <c r="F122" s="2877"/>
      <c r="G122" s="2878"/>
      <c r="H122" s="2877"/>
      <c r="I122" s="2878"/>
      <c r="J122" s="2877"/>
      <c r="K122" s="2877"/>
      <c r="L122" s="2878"/>
      <c r="M122" s="2877"/>
      <c r="N122" s="2877"/>
      <c r="O122" s="2878"/>
      <c r="P122" s="2877"/>
      <c r="Q122" s="2877"/>
      <c r="R122" s="2879"/>
    </row>
    <row r="123" s="2395" customFormat="1" spans="2:18">
      <c r="B123" s="2877"/>
      <c r="C123" s="2877"/>
      <c r="D123" s="2877"/>
      <c r="E123" s="2877"/>
      <c r="F123" s="2877"/>
      <c r="G123" s="2878"/>
      <c r="H123" s="2877"/>
      <c r="I123" s="2878"/>
      <c r="J123" s="2877"/>
      <c r="K123" s="2877"/>
      <c r="L123" s="2878"/>
      <c r="M123" s="2877"/>
      <c r="N123" s="2877"/>
      <c r="O123" s="2878"/>
      <c r="P123" s="2877"/>
      <c r="Q123" s="2877"/>
      <c r="R123" s="2879"/>
    </row>
    <row r="124" s="2395" customFormat="1" spans="2:18">
      <c r="B124" s="2877"/>
      <c r="C124" s="2877"/>
      <c r="D124" s="2877"/>
      <c r="E124" s="2877"/>
      <c r="F124" s="2877"/>
      <c r="G124" s="2878"/>
      <c r="H124" s="2877"/>
      <c r="I124" s="2878"/>
      <c r="J124" s="2877"/>
      <c r="K124" s="2877"/>
      <c r="L124" s="2878"/>
      <c r="M124" s="2877"/>
      <c r="N124" s="2877"/>
      <c r="O124" s="2878"/>
      <c r="P124" s="2877"/>
      <c r="Q124" s="2877"/>
      <c r="R124" s="2879"/>
    </row>
    <row r="125" s="2395" customFormat="1" spans="2:18">
      <c r="B125" s="2877"/>
      <c r="C125" s="2877"/>
      <c r="D125" s="2877"/>
      <c r="E125" s="2877"/>
      <c r="F125" s="2877"/>
      <c r="G125" s="2878"/>
      <c r="H125" s="2877"/>
      <c r="I125" s="2878"/>
      <c r="J125" s="2877"/>
      <c r="K125" s="2877"/>
      <c r="L125" s="2878"/>
      <c r="M125" s="2877"/>
      <c r="N125" s="2877"/>
      <c r="O125" s="2878"/>
      <c r="P125" s="2877"/>
      <c r="Q125" s="2877"/>
      <c r="R125" s="2879"/>
    </row>
    <row r="126" s="2395" customFormat="1" spans="2:18">
      <c r="B126" s="2877"/>
      <c r="C126" s="2877"/>
      <c r="D126" s="2877"/>
      <c r="E126" s="2877"/>
      <c r="F126" s="2877"/>
      <c r="G126" s="2878"/>
      <c r="H126" s="2877"/>
      <c r="I126" s="2878"/>
      <c r="J126" s="2877"/>
      <c r="K126" s="2877"/>
      <c r="L126" s="2878"/>
      <c r="M126" s="2877"/>
      <c r="N126" s="2877"/>
      <c r="O126" s="2878"/>
      <c r="P126" s="2877"/>
      <c r="Q126" s="2877"/>
      <c r="R126" s="2879"/>
    </row>
    <row r="127" s="2395" customFormat="1" spans="2:18">
      <c r="B127" s="2877"/>
      <c r="C127" s="2877"/>
      <c r="D127" s="2877"/>
      <c r="E127" s="2877"/>
      <c r="F127" s="2877"/>
      <c r="G127" s="2878"/>
      <c r="H127" s="2877"/>
      <c r="I127" s="2878"/>
      <c r="J127" s="2877"/>
      <c r="K127" s="2877"/>
      <c r="L127" s="2878"/>
      <c r="M127" s="2877"/>
      <c r="N127" s="2877"/>
      <c r="O127" s="2878"/>
      <c r="P127" s="2877"/>
      <c r="Q127" s="2877"/>
      <c r="R127" s="2879"/>
    </row>
    <row r="128" s="2395" customFormat="1" spans="2:18">
      <c r="B128" s="2877"/>
      <c r="C128" s="2877"/>
      <c r="D128" s="2877"/>
      <c r="E128" s="2877"/>
      <c r="F128" s="2877"/>
      <c r="G128" s="2878"/>
      <c r="H128" s="2877"/>
      <c r="I128" s="2878"/>
      <c r="J128" s="2877"/>
      <c r="K128" s="2877"/>
      <c r="L128" s="2878"/>
      <c r="M128" s="2877"/>
      <c r="N128" s="2877"/>
      <c r="O128" s="2878"/>
      <c r="P128" s="2877"/>
      <c r="Q128" s="2877"/>
      <c r="R128" s="2879"/>
    </row>
    <row r="129" s="2395" customFormat="1" spans="2:18">
      <c r="B129" s="2877"/>
      <c r="C129" s="2877"/>
      <c r="D129" s="2877"/>
      <c r="E129" s="2877"/>
      <c r="F129" s="2877"/>
      <c r="G129" s="2878"/>
      <c r="H129" s="2877"/>
      <c r="I129" s="2878"/>
      <c r="J129" s="2877"/>
      <c r="K129" s="2877"/>
      <c r="L129" s="2878"/>
      <c r="M129" s="2877"/>
      <c r="N129" s="2877"/>
      <c r="O129" s="2878"/>
      <c r="P129" s="2877"/>
      <c r="Q129" s="2877"/>
      <c r="R129" s="2879"/>
    </row>
    <row r="130" s="2395" customFormat="1" spans="2:18">
      <c r="B130" s="2877"/>
      <c r="C130" s="2877"/>
      <c r="D130" s="2877"/>
      <c r="E130" s="2877"/>
      <c r="F130" s="2877"/>
      <c r="G130" s="2878"/>
      <c r="H130" s="2877"/>
      <c r="I130" s="2878"/>
      <c r="J130" s="2877"/>
      <c r="K130" s="2877"/>
      <c r="L130" s="2878"/>
      <c r="M130" s="2877"/>
      <c r="N130" s="2877"/>
      <c r="O130" s="2878"/>
      <c r="P130" s="2877"/>
      <c r="Q130" s="2877"/>
      <c r="R130" s="2879"/>
    </row>
    <row r="131" s="2395" customFormat="1" spans="2:18">
      <c r="B131" s="2877"/>
      <c r="C131" s="2877"/>
      <c r="D131" s="2877"/>
      <c r="E131" s="2877"/>
      <c r="F131" s="2877"/>
      <c r="G131" s="2878"/>
      <c r="H131" s="2877"/>
      <c r="I131" s="2878"/>
      <c r="J131" s="2877"/>
      <c r="K131" s="2877"/>
      <c r="L131" s="2878"/>
      <c r="M131" s="2877"/>
      <c r="N131" s="2877"/>
      <c r="O131" s="2878"/>
      <c r="P131" s="2877"/>
      <c r="Q131" s="2877"/>
      <c r="R131" s="2879"/>
    </row>
    <row r="132" s="2395" customFormat="1" spans="2:18">
      <c r="B132" s="2877"/>
      <c r="C132" s="2877"/>
      <c r="D132" s="2877"/>
      <c r="E132" s="2877"/>
      <c r="F132" s="2877"/>
      <c r="G132" s="2878"/>
      <c r="H132" s="2877"/>
      <c r="I132" s="2878"/>
      <c r="J132" s="2877"/>
      <c r="K132" s="2877"/>
      <c r="L132" s="2878"/>
      <c r="M132" s="2877"/>
      <c r="N132" s="2877"/>
      <c r="O132" s="2878"/>
      <c r="P132" s="2877"/>
      <c r="Q132" s="2877"/>
      <c r="R132" s="2879"/>
    </row>
    <row r="133" s="2395" customFormat="1" spans="2:18">
      <c r="B133" s="2877"/>
      <c r="C133" s="2877"/>
      <c r="D133" s="2877"/>
      <c r="E133" s="2877"/>
      <c r="F133" s="2877"/>
      <c r="G133" s="2878"/>
      <c r="H133" s="2877"/>
      <c r="I133" s="2878"/>
      <c r="J133" s="2877"/>
      <c r="K133" s="2877"/>
      <c r="L133" s="2878"/>
      <c r="M133" s="2877"/>
      <c r="N133" s="2877"/>
      <c r="O133" s="2878"/>
      <c r="P133" s="2877"/>
      <c r="Q133" s="2877"/>
      <c r="R133" s="2879"/>
    </row>
    <row r="134" s="2395" customFormat="1" spans="2:18">
      <c r="B134" s="2877"/>
      <c r="C134" s="2877"/>
      <c r="D134" s="2877"/>
      <c r="E134" s="2877"/>
      <c r="F134" s="2877"/>
      <c r="G134" s="2878"/>
      <c r="H134" s="2877"/>
      <c r="I134" s="2878"/>
      <c r="J134" s="2877"/>
      <c r="K134" s="2877"/>
      <c r="L134" s="2878"/>
      <c r="M134" s="2877"/>
      <c r="N134" s="2877"/>
      <c r="O134" s="2878"/>
      <c r="P134" s="2877"/>
      <c r="Q134" s="2877"/>
      <c r="R134" s="2879"/>
    </row>
    <row r="135" s="2395" customFormat="1" spans="2:18">
      <c r="B135" s="2877"/>
      <c r="C135" s="2877"/>
      <c r="D135" s="2877"/>
      <c r="E135" s="2877"/>
      <c r="F135" s="2877"/>
      <c r="G135" s="2878"/>
      <c r="H135" s="2877"/>
      <c r="I135" s="2878"/>
      <c r="J135" s="2877"/>
      <c r="K135" s="2877"/>
      <c r="L135" s="2878"/>
      <c r="M135" s="2877"/>
      <c r="N135" s="2877"/>
      <c r="O135" s="2878"/>
      <c r="P135" s="2877"/>
      <c r="Q135" s="2877"/>
      <c r="R135" s="2879"/>
    </row>
    <row r="136" s="2395" customFormat="1" spans="2:18">
      <c r="B136" s="2877"/>
      <c r="C136" s="2877"/>
      <c r="D136" s="2877"/>
      <c r="E136" s="2877"/>
      <c r="F136" s="2877"/>
      <c r="G136" s="2878"/>
      <c r="H136" s="2877"/>
      <c r="I136" s="2878"/>
      <c r="J136" s="2877"/>
      <c r="K136" s="2877"/>
      <c r="L136" s="2878"/>
      <c r="M136" s="2877"/>
      <c r="N136" s="2877"/>
      <c r="O136" s="2878"/>
      <c r="P136" s="2877"/>
      <c r="Q136" s="2877"/>
      <c r="R136" s="2879"/>
    </row>
    <row r="137" s="2395" customFormat="1" spans="2:18">
      <c r="B137" s="2877"/>
      <c r="C137" s="2877"/>
      <c r="D137" s="2877"/>
      <c r="E137" s="2877"/>
      <c r="F137" s="2877"/>
      <c r="G137" s="2878"/>
      <c r="H137" s="2877"/>
      <c r="I137" s="2878"/>
      <c r="J137" s="2877"/>
      <c r="K137" s="2877"/>
      <c r="L137" s="2878"/>
      <c r="M137" s="2877"/>
      <c r="N137" s="2877"/>
      <c r="O137" s="2878"/>
      <c r="P137" s="2877"/>
      <c r="Q137" s="2877"/>
      <c r="R137" s="2879"/>
    </row>
    <row r="138" s="2395" customFormat="1" spans="2:18">
      <c r="B138" s="2877"/>
      <c r="C138" s="2877"/>
      <c r="D138" s="2877"/>
      <c r="E138" s="2877"/>
      <c r="F138" s="2877"/>
      <c r="G138" s="2878"/>
      <c r="H138" s="2877"/>
      <c r="I138" s="2878"/>
      <c r="J138" s="2877"/>
      <c r="K138" s="2877"/>
      <c r="L138" s="2878"/>
      <c r="M138" s="2877"/>
      <c r="N138" s="2877"/>
      <c r="O138" s="2878"/>
      <c r="P138" s="2877"/>
      <c r="Q138" s="2877"/>
      <c r="R138" s="2879"/>
    </row>
    <row r="139" s="2395" customFormat="1" spans="2:18">
      <c r="B139" s="2877"/>
      <c r="C139" s="2877"/>
      <c r="D139" s="2877"/>
      <c r="E139" s="2877"/>
      <c r="F139" s="2877"/>
      <c r="G139" s="2878"/>
      <c r="H139" s="2877"/>
      <c r="I139" s="2878"/>
      <c r="J139" s="2877"/>
      <c r="K139" s="2877"/>
      <c r="L139" s="2878"/>
      <c r="M139" s="2877"/>
      <c r="N139" s="2877"/>
      <c r="O139" s="2878"/>
      <c r="P139" s="2877"/>
      <c r="Q139" s="2877"/>
      <c r="R139" s="2879"/>
    </row>
    <row r="140" s="2395" customFormat="1" spans="2:18">
      <c r="B140" s="2877"/>
      <c r="C140" s="2877"/>
      <c r="D140" s="2877"/>
      <c r="E140" s="2877"/>
      <c r="F140" s="2877"/>
      <c r="G140" s="2878"/>
      <c r="H140" s="2877"/>
      <c r="I140" s="2878"/>
      <c r="J140" s="2877"/>
      <c r="K140" s="2877"/>
      <c r="L140" s="2878"/>
      <c r="M140" s="2877"/>
      <c r="N140" s="2877"/>
      <c r="O140" s="2878"/>
      <c r="P140" s="2877"/>
      <c r="Q140" s="2877"/>
      <c r="R140" s="2879"/>
    </row>
    <row r="141" s="2395" customFormat="1" spans="2:18">
      <c r="B141" s="2877"/>
      <c r="C141" s="2877"/>
      <c r="D141" s="2877"/>
      <c r="E141" s="2877"/>
      <c r="F141" s="2877"/>
      <c r="G141" s="2878"/>
      <c r="H141" s="2877"/>
      <c r="I141" s="2878"/>
      <c r="J141" s="2877"/>
      <c r="K141" s="2877"/>
      <c r="L141" s="2878"/>
      <c r="M141" s="2877"/>
      <c r="N141" s="2877"/>
      <c r="O141" s="2878"/>
      <c r="P141" s="2877"/>
      <c r="Q141" s="2877"/>
      <c r="R141" s="2879"/>
    </row>
    <row r="142" s="2395" customFormat="1" spans="2:18">
      <c r="B142" s="2877"/>
      <c r="C142" s="2877"/>
      <c r="D142" s="2877"/>
      <c r="E142" s="2877"/>
      <c r="F142" s="2877"/>
      <c r="G142" s="2878"/>
      <c r="H142" s="2877"/>
      <c r="I142" s="2878"/>
      <c r="J142" s="2877"/>
      <c r="K142" s="2877"/>
      <c r="L142" s="2878"/>
      <c r="M142" s="2877"/>
      <c r="N142" s="2877"/>
      <c r="O142" s="2878"/>
      <c r="P142" s="2877"/>
      <c r="Q142" s="2877"/>
      <c r="R142" s="2879"/>
    </row>
    <row r="143" s="2395" customFormat="1" spans="2:18">
      <c r="B143" s="2877"/>
      <c r="C143" s="2877"/>
      <c r="D143" s="2877"/>
      <c r="E143" s="2877"/>
      <c r="F143" s="2877"/>
      <c r="G143" s="2878"/>
      <c r="H143" s="2877"/>
      <c r="I143" s="2878"/>
      <c r="J143" s="2877"/>
      <c r="K143" s="2877"/>
      <c r="L143" s="2878"/>
      <c r="M143" s="2877"/>
      <c r="N143" s="2877"/>
      <c r="O143" s="2878"/>
      <c r="P143" s="2877"/>
      <c r="Q143" s="2877"/>
      <c r="R143" s="2879"/>
    </row>
    <row r="144" s="2395" customFormat="1" spans="2:18">
      <c r="B144" s="2877"/>
      <c r="C144" s="2877"/>
      <c r="D144" s="2877"/>
      <c r="E144" s="2877"/>
      <c r="F144" s="2877"/>
      <c r="G144" s="2878"/>
      <c r="H144" s="2877"/>
      <c r="I144" s="2878"/>
      <c r="J144" s="2877"/>
      <c r="K144" s="2877"/>
      <c r="L144" s="2878"/>
      <c r="M144" s="2877"/>
      <c r="N144" s="2877"/>
      <c r="O144" s="2878"/>
      <c r="P144" s="2877"/>
      <c r="Q144" s="2877"/>
      <c r="R144" s="2879"/>
    </row>
    <row r="145" s="2395" customFormat="1" spans="2:18">
      <c r="B145" s="2877"/>
      <c r="C145" s="2877"/>
      <c r="D145" s="2877"/>
      <c r="E145" s="2877"/>
      <c r="F145" s="2877"/>
      <c r="G145" s="2878"/>
      <c r="H145" s="2877"/>
      <c r="I145" s="2878"/>
      <c r="J145" s="2877"/>
      <c r="K145" s="2877"/>
      <c r="L145" s="2878"/>
      <c r="M145" s="2877"/>
      <c r="N145" s="2877"/>
      <c r="O145" s="2878"/>
      <c r="P145" s="2877"/>
      <c r="Q145" s="2877"/>
      <c r="R145" s="2879"/>
    </row>
    <row r="146" s="2395" customFormat="1" spans="2:18">
      <c r="B146" s="2877"/>
      <c r="C146" s="2877"/>
      <c r="D146" s="2877"/>
      <c r="E146" s="2877"/>
      <c r="F146" s="2877"/>
      <c r="G146" s="2878"/>
      <c r="H146" s="2877"/>
      <c r="I146" s="2878"/>
      <c r="J146" s="2877"/>
      <c r="K146" s="2877"/>
      <c r="L146" s="2878"/>
      <c r="M146" s="2877"/>
      <c r="N146" s="2877"/>
      <c r="O146" s="2878"/>
      <c r="P146" s="2877"/>
      <c r="Q146" s="2877"/>
      <c r="R146" s="2879"/>
    </row>
    <row r="147" s="2395" customFormat="1" spans="2:18">
      <c r="B147" s="2877"/>
      <c r="C147" s="2877"/>
      <c r="D147" s="2877"/>
      <c r="E147" s="2877"/>
      <c r="F147" s="2877"/>
      <c r="G147" s="2878"/>
      <c r="H147" s="2877"/>
      <c r="I147" s="2878"/>
      <c r="J147" s="2877"/>
      <c r="K147" s="2877"/>
      <c r="L147" s="2878"/>
      <c r="M147" s="2877"/>
      <c r="N147" s="2877"/>
      <c r="O147" s="2878"/>
      <c r="P147" s="2877"/>
      <c r="Q147" s="2877"/>
      <c r="R147" s="2879"/>
    </row>
    <row r="148" s="2395" customFormat="1" spans="2:18">
      <c r="B148" s="2877"/>
      <c r="C148" s="2877"/>
      <c r="D148" s="2877"/>
      <c r="E148" s="2877"/>
      <c r="F148" s="2877"/>
      <c r="G148" s="2878"/>
      <c r="H148" s="2877"/>
      <c r="I148" s="2878"/>
      <c r="J148" s="2877"/>
      <c r="K148" s="2877"/>
      <c r="L148" s="2878"/>
      <c r="M148" s="2877"/>
      <c r="N148" s="2877"/>
      <c r="O148" s="2878"/>
      <c r="P148" s="2877"/>
      <c r="Q148" s="2877"/>
      <c r="R148" s="2879"/>
    </row>
    <row r="149" s="2395" customFormat="1" spans="2:18">
      <c r="B149" s="2877"/>
      <c r="C149" s="2877"/>
      <c r="D149" s="2877"/>
      <c r="E149" s="2877"/>
      <c r="F149" s="2877"/>
      <c r="G149" s="2878"/>
      <c r="H149" s="2877"/>
      <c r="I149" s="2878"/>
      <c r="J149" s="2877"/>
      <c r="K149" s="2877"/>
      <c r="L149" s="2878"/>
      <c r="M149" s="2877"/>
      <c r="N149" s="2877"/>
      <c r="O149" s="2878"/>
      <c r="P149" s="2877"/>
      <c r="Q149" s="2877"/>
      <c r="R149" s="2879"/>
    </row>
    <row r="150" s="2395" customFormat="1" spans="2:18">
      <c r="B150" s="2877"/>
      <c r="C150" s="2877"/>
      <c r="D150" s="2877"/>
      <c r="E150" s="2877"/>
      <c r="F150" s="2877"/>
      <c r="G150" s="2878"/>
      <c r="H150" s="2877"/>
      <c r="I150" s="2878"/>
      <c r="J150" s="2877"/>
      <c r="K150" s="2877"/>
      <c r="L150" s="2878"/>
      <c r="M150" s="2877"/>
      <c r="N150" s="2877"/>
      <c r="O150" s="2878"/>
      <c r="P150" s="2877"/>
      <c r="Q150" s="2877"/>
      <c r="R150" s="2879"/>
    </row>
    <row r="151" s="2395" customFormat="1" spans="2:18">
      <c r="B151" s="2877"/>
      <c r="C151" s="2877"/>
      <c r="D151" s="2877"/>
      <c r="E151" s="2877"/>
      <c r="F151" s="2877"/>
      <c r="G151" s="2878"/>
      <c r="H151" s="2877"/>
      <c r="I151" s="2878"/>
      <c r="J151" s="2877"/>
      <c r="K151" s="2877"/>
      <c r="L151" s="2878"/>
      <c r="M151" s="2877"/>
      <c r="N151" s="2877"/>
      <c r="O151" s="2878"/>
      <c r="P151" s="2877"/>
      <c r="Q151" s="2877"/>
      <c r="R151" s="2879"/>
    </row>
    <row r="152" s="2395" customFormat="1" spans="2:18">
      <c r="B152" s="2877"/>
      <c r="C152" s="2877"/>
      <c r="D152" s="2877"/>
      <c r="E152" s="2877"/>
      <c r="F152" s="2877"/>
      <c r="G152" s="2878"/>
      <c r="H152" s="2877"/>
      <c r="I152" s="2878"/>
      <c r="J152" s="2877"/>
      <c r="K152" s="2877"/>
      <c r="L152" s="2878"/>
      <c r="M152" s="2877"/>
      <c r="N152" s="2877"/>
      <c r="O152" s="2878"/>
      <c r="P152" s="2877"/>
      <c r="Q152" s="2877"/>
      <c r="R152" s="2879"/>
    </row>
    <row r="153" s="2395" customFormat="1" spans="2:18">
      <c r="B153" s="2877"/>
      <c r="C153" s="2877"/>
      <c r="D153" s="2877"/>
      <c r="E153" s="2877"/>
      <c r="F153" s="2877"/>
      <c r="G153" s="2878"/>
      <c r="H153" s="2877"/>
      <c r="I153" s="2878"/>
      <c r="J153" s="2877"/>
      <c r="K153" s="2877"/>
      <c r="L153" s="2878"/>
      <c r="M153" s="2877"/>
      <c r="N153" s="2877"/>
      <c r="O153" s="2878"/>
      <c r="P153" s="2877"/>
      <c r="Q153" s="2877"/>
      <c r="R153" s="2879"/>
    </row>
    <row r="154" s="2395" customFormat="1" spans="2:18">
      <c r="B154" s="2877"/>
      <c r="C154" s="2877"/>
      <c r="D154" s="2877"/>
      <c r="E154" s="2877"/>
      <c r="F154" s="2877"/>
      <c r="G154" s="2878"/>
      <c r="H154" s="2877"/>
      <c r="I154" s="2878"/>
      <c r="J154" s="2877"/>
      <c r="K154" s="2877"/>
      <c r="L154" s="2878"/>
      <c r="M154" s="2877"/>
      <c r="N154" s="2877"/>
      <c r="O154" s="2878"/>
      <c r="P154" s="2877"/>
      <c r="Q154" s="2877"/>
      <c r="R154" s="2879"/>
    </row>
    <row r="155" s="2395" customFormat="1" spans="2:18">
      <c r="B155" s="2877"/>
      <c r="C155" s="2877"/>
      <c r="D155" s="2877"/>
      <c r="E155" s="2877"/>
      <c r="F155" s="2877"/>
      <c r="G155" s="2878"/>
      <c r="H155" s="2877"/>
      <c r="I155" s="2878"/>
      <c r="J155" s="2877"/>
      <c r="K155" s="2877"/>
      <c r="L155" s="2878"/>
      <c r="M155" s="2877"/>
      <c r="N155" s="2877"/>
      <c r="O155" s="2878"/>
      <c r="P155" s="2877"/>
      <c r="Q155" s="2877"/>
      <c r="R155" s="2879"/>
    </row>
    <row r="156" s="2395" customFormat="1" spans="2:18">
      <c r="B156" s="2877"/>
      <c r="C156" s="2877"/>
      <c r="D156" s="2877"/>
      <c r="E156" s="2877"/>
      <c r="F156" s="2877"/>
      <c r="G156" s="2878"/>
      <c r="H156" s="2877"/>
      <c r="I156" s="2878"/>
      <c r="J156" s="2877"/>
      <c r="K156" s="2877"/>
      <c r="L156" s="2878"/>
      <c r="M156" s="2877"/>
      <c r="N156" s="2877"/>
      <c r="O156" s="2878"/>
      <c r="P156" s="2877"/>
      <c r="Q156" s="2877"/>
      <c r="R156" s="2879"/>
    </row>
    <row r="157" s="2395" customFormat="1" spans="2:18">
      <c r="B157" s="2877"/>
      <c r="C157" s="2877"/>
      <c r="D157" s="2877"/>
      <c r="E157" s="2877"/>
      <c r="F157" s="2877"/>
      <c r="G157" s="2878"/>
      <c r="H157" s="2877"/>
      <c r="I157" s="2878"/>
      <c r="J157" s="2877"/>
      <c r="K157" s="2877"/>
      <c r="L157" s="2878"/>
      <c r="M157" s="2877"/>
      <c r="N157" s="2877"/>
      <c r="O157" s="2878"/>
      <c r="P157" s="2877"/>
      <c r="Q157" s="2877"/>
      <c r="R157" s="2879"/>
    </row>
    <row r="158" s="2395" customFormat="1" spans="2:18">
      <c r="B158" s="2877"/>
      <c r="C158" s="2877"/>
      <c r="D158" s="2877"/>
      <c r="E158" s="2877"/>
      <c r="F158" s="2877"/>
      <c r="G158" s="2878"/>
      <c r="H158" s="2877"/>
      <c r="I158" s="2878"/>
      <c r="J158" s="2877"/>
      <c r="K158" s="2877"/>
      <c r="L158" s="2878"/>
      <c r="M158" s="2877"/>
      <c r="N158" s="2877"/>
      <c r="O158" s="2878"/>
      <c r="P158" s="2877"/>
      <c r="Q158" s="2877"/>
      <c r="R158" s="2879"/>
    </row>
    <row r="159" s="2395" customFormat="1" spans="2:18">
      <c r="B159" s="2877"/>
      <c r="C159" s="2877"/>
      <c r="D159" s="2877"/>
      <c r="E159" s="2877"/>
      <c r="F159" s="2877"/>
      <c r="G159" s="2878"/>
      <c r="H159" s="2877"/>
      <c r="I159" s="2878"/>
      <c r="J159" s="2877"/>
      <c r="K159" s="2877"/>
      <c r="L159" s="2878"/>
      <c r="M159" s="2877"/>
      <c r="N159" s="2877"/>
      <c r="O159" s="2878"/>
      <c r="P159" s="2877"/>
      <c r="Q159" s="2877"/>
      <c r="R159" s="2879"/>
    </row>
    <row r="160" s="2395" customFormat="1" spans="2:18">
      <c r="B160" s="2877"/>
      <c r="C160" s="2877"/>
      <c r="D160" s="2877"/>
      <c r="E160" s="2877"/>
      <c r="F160" s="2877"/>
      <c r="G160" s="2878"/>
      <c r="H160" s="2877"/>
      <c r="I160" s="2878"/>
      <c r="J160" s="2877"/>
      <c r="K160" s="2877"/>
      <c r="L160" s="2878"/>
      <c r="M160" s="2877"/>
      <c r="N160" s="2877"/>
      <c r="O160" s="2878"/>
      <c r="P160" s="2877"/>
      <c r="Q160" s="2877"/>
      <c r="R160" s="2879"/>
    </row>
    <row r="161" s="2395" customFormat="1" spans="2:18">
      <c r="B161" s="2877"/>
      <c r="C161" s="2877"/>
      <c r="D161" s="2877"/>
      <c r="E161" s="2877"/>
      <c r="F161" s="2877"/>
      <c r="G161" s="2878"/>
      <c r="H161" s="2877"/>
      <c r="I161" s="2878"/>
      <c r="J161" s="2877"/>
      <c r="K161" s="2877"/>
      <c r="L161" s="2878"/>
      <c r="M161" s="2877"/>
      <c r="N161" s="2877"/>
      <c r="O161" s="2878"/>
      <c r="P161" s="2877"/>
      <c r="Q161" s="2877"/>
      <c r="R161" s="2879"/>
    </row>
    <row r="162" s="2395" customFormat="1" spans="2:18">
      <c r="B162" s="2877"/>
      <c r="C162" s="2877"/>
      <c r="D162" s="2877"/>
      <c r="E162" s="2877"/>
      <c r="F162" s="2877"/>
      <c r="G162" s="2878"/>
      <c r="H162" s="2877"/>
      <c r="I162" s="2878"/>
      <c r="J162" s="2877"/>
      <c r="K162" s="2877"/>
      <c r="L162" s="2878"/>
      <c r="M162" s="2877"/>
      <c r="N162" s="2877"/>
      <c r="O162" s="2878"/>
      <c r="P162" s="2877"/>
      <c r="Q162" s="2877"/>
      <c r="R162" s="2879"/>
    </row>
    <row r="163" s="2395" customFormat="1" spans="2:18">
      <c r="B163" s="2877"/>
      <c r="C163" s="2877"/>
      <c r="D163" s="2877"/>
      <c r="E163" s="2877"/>
      <c r="F163" s="2877"/>
      <c r="G163" s="2878"/>
      <c r="H163" s="2877"/>
      <c r="I163" s="2878"/>
      <c r="J163" s="2877"/>
      <c r="K163" s="2877"/>
      <c r="L163" s="2878"/>
      <c r="M163" s="2877"/>
      <c r="N163" s="2877"/>
      <c r="O163" s="2878"/>
      <c r="P163" s="2877"/>
      <c r="Q163" s="2877"/>
      <c r="R163" s="2879"/>
    </row>
    <row r="164" s="2395" customFormat="1" spans="2:18">
      <c r="B164" s="2877"/>
      <c r="C164" s="2877"/>
      <c r="D164" s="2877"/>
      <c r="E164" s="2877"/>
      <c r="F164" s="2877"/>
      <c r="G164" s="2878"/>
      <c r="H164" s="2877"/>
      <c r="I164" s="2878"/>
      <c r="J164" s="2877"/>
      <c r="K164" s="2877"/>
      <c r="L164" s="2878"/>
      <c r="M164" s="2877"/>
      <c r="N164" s="2877"/>
      <c r="O164" s="2878"/>
      <c r="P164" s="2877"/>
      <c r="Q164" s="2877"/>
      <c r="R164" s="2879"/>
    </row>
    <row r="165" s="2395" customFormat="1" spans="2:18">
      <c r="B165" s="2877"/>
      <c r="C165" s="2877"/>
      <c r="D165" s="2877"/>
      <c r="E165" s="2877"/>
      <c r="F165" s="2877"/>
      <c r="G165" s="2878"/>
      <c r="H165" s="2877"/>
      <c r="I165" s="2878"/>
      <c r="J165" s="2877"/>
      <c r="K165" s="2877"/>
      <c r="L165" s="2878"/>
      <c r="M165" s="2877"/>
      <c r="N165" s="2877"/>
      <c r="O165" s="2878"/>
      <c r="P165" s="2877"/>
      <c r="Q165" s="2877"/>
      <c r="R165" s="2879"/>
    </row>
    <row r="166" s="2395" customFormat="1" spans="2:18">
      <c r="B166" s="2877"/>
      <c r="C166" s="2877"/>
      <c r="D166" s="2877"/>
      <c r="E166" s="2877"/>
      <c r="F166" s="2877"/>
      <c r="G166" s="2878"/>
      <c r="H166" s="2877"/>
      <c r="I166" s="2878"/>
      <c r="J166" s="2877"/>
      <c r="K166" s="2877"/>
      <c r="L166" s="2878"/>
      <c r="M166" s="2877"/>
      <c r="N166" s="2877"/>
      <c r="O166" s="2878"/>
      <c r="P166" s="2877"/>
      <c r="Q166" s="2877"/>
      <c r="R166" s="2879"/>
    </row>
    <row r="167" s="2395" customFormat="1" spans="2:18">
      <c r="B167" s="2877"/>
      <c r="C167" s="2877"/>
      <c r="D167" s="2877"/>
      <c r="E167" s="2877"/>
      <c r="F167" s="2877"/>
      <c r="G167" s="2878"/>
      <c r="H167" s="2877"/>
      <c r="I167" s="2878"/>
      <c r="J167" s="2877"/>
      <c r="K167" s="2877"/>
      <c r="L167" s="2878"/>
      <c r="M167" s="2877"/>
      <c r="N167" s="2877"/>
      <c r="O167" s="2878"/>
      <c r="P167" s="2877"/>
      <c r="Q167" s="2877"/>
      <c r="R167" s="2879"/>
    </row>
    <row r="168" s="2395" customFormat="1" spans="2:18">
      <c r="B168" s="2877"/>
      <c r="C168" s="2877"/>
      <c r="D168" s="2877"/>
      <c r="E168" s="2877"/>
      <c r="F168" s="2877"/>
      <c r="G168" s="2878"/>
      <c r="H168" s="2877"/>
      <c r="I168" s="2878"/>
      <c r="J168" s="2877"/>
      <c r="K168" s="2877"/>
      <c r="L168" s="2878"/>
      <c r="M168" s="2877"/>
      <c r="N168" s="2877"/>
      <c r="O168" s="2878"/>
      <c r="P168" s="2877"/>
      <c r="Q168" s="2877"/>
      <c r="R168" s="2879"/>
    </row>
    <row r="169" s="2395" customFormat="1" spans="2:18">
      <c r="B169" s="2877"/>
      <c r="C169" s="2877"/>
      <c r="D169" s="2877"/>
      <c r="E169" s="2877"/>
      <c r="F169" s="2877"/>
      <c r="G169" s="2878"/>
      <c r="H169" s="2877"/>
      <c r="I169" s="2878"/>
      <c r="J169" s="2877"/>
      <c r="K169" s="2877"/>
      <c r="L169" s="2878"/>
      <c r="M169" s="2877"/>
      <c r="N169" s="2877"/>
      <c r="O169" s="2878"/>
      <c r="P169" s="2877"/>
      <c r="Q169" s="2877"/>
      <c r="R169" s="2879"/>
    </row>
    <row r="170" s="2395" customFormat="1" spans="2:18">
      <c r="B170" s="2877"/>
      <c r="C170" s="2877"/>
      <c r="D170" s="2877"/>
      <c r="E170" s="2877"/>
      <c r="F170" s="2877"/>
      <c r="G170" s="2878"/>
      <c r="H170" s="2877"/>
      <c r="I170" s="2878"/>
      <c r="J170" s="2877"/>
      <c r="K170" s="2877"/>
      <c r="L170" s="2878"/>
      <c r="M170" s="2877"/>
      <c r="N170" s="2877"/>
      <c r="O170" s="2878"/>
      <c r="P170" s="2877"/>
      <c r="Q170" s="2877"/>
      <c r="R170" s="2879"/>
    </row>
    <row r="171" s="2395" customFormat="1" spans="2:18">
      <c r="B171" s="2877"/>
      <c r="C171" s="2877"/>
      <c r="D171" s="2877"/>
      <c r="E171" s="2877"/>
      <c r="F171" s="2877"/>
      <c r="G171" s="2878"/>
      <c r="H171" s="2877"/>
      <c r="I171" s="2878"/>
      <c r="J171" s="2877"/>
      <c r="K171" s="2877"/>
      <c r="L171" s="2878"/>
      <c r="M171" s="2877"/>
      <c r="N171" s="2877"/>
      <c r="O171" s="2878"/>
      <c r="P171" s="2877"/>
      <c r="Q171" s="2877"/>
      <c r="R171" s="2879"/>
    </row>
    <row r="172" s="2395" customFormat="1" spans="2:18">
      <c r="B172" s="2877"/>
      <c r="C172" s="2877"/>
      <c r="D172" s="2877"/>
      <c r="E172" s="2877"/>
      <c r="F172" s="2877"/>
      <c r="G172" s="2878"/>
      <c r="H172" s="2877"/>
      <c r="I172" s="2878"/>
      <c r="J172" s="2877"/>
      <c r="K172" s="2877"/>
      <c r="L172" s="2878"/>
      <c r="M172" s="2877"/>
      <c r="N172" s="2877"/>
      <c r="O172" s="2878"/>
      <c r="P172" s="2877"/>
      <c r="Q172" s="2877"/>
      <c r="R172" s="2879"/>
    </row>
    <row r="173" s="2395" customFormat="1" spans="2:18">
      <c r="B173" s="2877"/>
      <c r="C173" s="2877"/>
      <c r="D173" s="2877"/>
      <c r="E173" s="2877"/>
      <c r="F173" s="2877"/>
      <c r="G173" s="2878"/>
      <c r="H173" s="2877"/>
      <c r="I173" s="2878"/>
      <c r="J173" s="2877"/>
      <c r="K173" s="2877"/>
      <c r="L173" s="2878"/>
      <c r="M173" s="2877"/>
      <c r="N173" s="2877"/>
      <c r="O173" s="2878"/>
      <c r="P173" s="2877"/>
      <c r="Q173" s="2877"/>
      <c r="R173" s="2879"/>
    </row>
    <row r="174" s="2395" customFormat="1" spans="2:18">
      <c r="B174" s="2877"/>
      <c r="C174" s="2877"/>
      <c r="D174" s="2877"/>
      <c r="E174" s="2877"/>
      <c r="F174" s="2877"/>
      <c r="G174" s="2878"/>
      <c r="H174" s="2877"/>
      <c r="I174" s="2878"/>
      <c r="J174" s="2877"/>
      <c r="K174" s="2877"/>
      <c r="L174" s="2878"/>
      <c r="M174" s="2877"/>
      <c r="N174" s="2877"/>
      <c r="O174" s="2878"/>
      <c r="P174" s="2877"/>
      <c r="Q174" s="2877"/>
      <c r="R174" s="2879"/>
    </row>
    <row r="175" s="2395" customFormat="1" spans="2:18">
      <c r="B175" s="2877"/>
      <c r="C175" s="2877"/>
      <c r="D175" s="2877"/>
      <c r="E175" s="2877"/>
      <c r="F175" s="2877"/>
      <c r="G175" s="2878"/>
      <c r="H175" s="2877"/>
      <c r="I175" s="2878"/>
      <c r="J175" s="2877"/>
      <c r="K175" s="2877"/>
      <c r="L175" s="2878"/>
      <c r="M175" s="2877"/>
      <c r="N175" s="2877"/>
      <c r="O175" s="2878"/>
      <c r="P175" s="2877"/>
      <c r="Q175" s="2877"/>
      <c r="R175" s="2879"/>
    </row>
    <row r="176" s="2395" customFormat="1" spans="2:18">
      <c r="B176" s="2877"/>
      <c r="C176" s="2877"/>
      <c r="D176" s="2877"/>
      <c r="E176" s="2877"/>
      <c r="F176" s="2877"/>
      <c r="G176" s="2878"/>
      <c r="H176" s="2877"/>
      <c r="I176" s="2878"/>
      <c r="J176" s="2877"/>
      <c r="K176" s="2877"/>
      <c r="L176" s="2878"/>
      <c r="M176" s="2877"/>
      <c r="N176" s="2877"/>
      <c r="O176" s="2878"/>
      <c r="P176" s="2877"/>
      <c r="Q176" s="2877"/>
      <c r="R176" s="2879"/>
    </row>
    <row r="177" s="2395" customFormat="1" spans="2:18">
      <c r="B177" s="2877"/>
      <c r="C177" s="2877"/>
      <c r="D177" s="2877"/>
      <c r="E177" s="2877"/>
      <c r="F177" s="2877"/>
      <c r="G177" s="2878"/>
      <c r="H177" s="2877"/>
      <c r="I177" s="2878"/>
      <c r="J177" s="2877"/>
      <c r="K177" s="2877"/>
      <c r="L177" s="2878"/>
      <c r="M177" s="2877"/>
      <c r="N177" s="2877"/>
      <c r="O177" s="2878"/>
      <c r="P177" s="2877"/>
      <c r="Q177" s="2877"/>
      <c r="R177" s="2879"/>
    </row>
    <row r="178" s="2395" customFormat="1" spans="2:18">
      <c r="B178" s="2877"/>
      <c r="C178" s="2877"/>
      <c r="D178" s="2877"/>
      <c r="E178" s="2877"/>
      <c r="F178" s="2877"/>
      <c r="G178" s="2878"/>
      <c r="H178" s="2877"/>
      <c r="I178" s="2878"/>
      <c r="J178" s="2877"/>
      <c r="K178" s="2877"/>
      <c r="L178" s="2878"/>
      <c r="M178" s="2877"/>
      <c r="N178" s="2877"/>
      <c r="O178" s="2878"/>
      <c r="P178" s="2877"/>
      <c r="Q178" s="2877"/>
      <c r="R178" s="2879"/>
    </row>
    <row r="179" s="2395" customFormat="1" spans="2:18">
      <c r="B179" s="2877"/>
      <c r="C179" s="2877"/>
      <c r="D179" s="2877"/>
      <c r="E179" s="2877"/>
      <c r="F179" s="2877"/>
      <c r="G179" s="2878"/>
      <c r="H179" s="2877"/>
      <c r="I179" s="2878"/>
      <c r="J179" s="2877"/>
      <c r="K179" s="2877"/>
      <c r="L179" s="2878"/>
      <c r="M179" s="2877"/>
      <c r="N179" s="2877"/>
      <c r="O179" s="2878"/>
      <c r="P179" s="2877"/>
      <c r="Q179" s="2877"/>
      <c r="R179" s="2879"/>
    </row>
    <row r="180" s="2395" customFormat="1" spans="2:18">
      <c r="B180" s="2877"/>
      <c r="C180" s="2877"/>
      <c r="D180" s="2877"/>
      <c r="E180" s="2877"/>
      <c r="F180" s="2877"/>
      <c r="G180" s="2878"/>
      <c r="H180" s="2877"/>
      <c r="I180" s="2878"/>
      <c r="J180" s="2877"/>
      <c r="K180" s="2877"/>
      <c r="L180" s="2878"/>
      <c r="M180" s="2877"/>
      <c r="N180" s="2877"/>
      <c r="O180" s="2878"/>
      <c r="P180" s="2877"/>
      <c r="Q180" s="2877"/>
      <c r="R180" s="2879"/>
    </row>
    <row r="181" s="2395" customFormat="1" spans="2:18">
      <c r="B181" s="2877"/>
      <c r="C181" s="2877"/>
      <c r="D181" s="2877"/>
      <c r="E181" s="2877"/>
      <c r="F181" s="2877"/>
      <c r="G181" s="2878"/>
      <c r="H181" s="2877"/>
      <c r="I181" s="2878"/>
      <c r="J181" s="2877"/>
      <c r="K181" s="2877"/>
      <c r="L181" s="2878"/>
      <c r="M181" s="2877"/>
      <c r="N181" s="2877"/>
      <c r="O181" s="2878"/>
      <c r="P181" s="2877"/>
      <c r="Q181" s="2877"/>
      <c r="R181" s="2879"/>
    </row>
    <row r="182" s="2395" customFormat="1" spans="2:18">
      <c r="B182" s="2877"/>
      <c r="C182" s="2877"/>
      <c r="D182" s="2877"/>
      <c r="E182" s="2877"/>
      <c r="F182" s="2877"/>
      <c r="G182" s="2878"/>
      <c r="H182" s="2877"/>
      <c r="I182" s="2878"/>
      <c r="J182" s="2877"/>
      <c r="K182" s="2877"/>
      <c r="L182" s="2878"/>
      <c r="M182" s="2877"/>
      <c r="N182" s="2877"/>
      <c r="O182" s="2878"/>
      <c r="P182" s="2877"/>
      <c r="Q182" s="2877"/>
      <c r="R182" s="2879"/>
    </row>
    <row r="183" s="2395" customFormat="1" spans="2:18">
      <c r="B183" s="2877"/>
      <c r="C183" s="2877"/>
      <c r="D183" s="2877"/>
      <c r="E183" s="2877"/>
      <c r="F183" s="2877"/>
      <c r="G183" s="2878"/>
      <c r="H183" s="2877"/>
      <c r="I183" s="2878"/>
      <c r="J183" s="2877"/>
      <c r="K183" s="2877"/>
      <c r="L183" s="2878"/>
      <c r="M183" s="2877"/>
      <c r="N183" s="2877"/>
      <c r="O183" s="2878"/>
      <c r="P183" s="2877"/>
      <c r="Q183" s="2877"/>
      <c r="R183" s="2879"/>
    </row>
    <row r="184" s="2395" customFormat="1" spans="2:18">
      <c r="B184" s="2877"/>
      <c r="C184" s="2877"/>
      <c r="D184" s="2877"/>
      <c r="E184" s="2877"/>
      <c r="F184" s="2877"/>
      <c r="G184" s="2878"/>
      <c r="H184" s="2877"/>
      <c r="I184" s="2878"/>
      <c r="J184" s="2877"/>
      <c r="K184" s="2877"/>
      <c r="L184" s="2878"/>
      <c r="M184" s="2877"/>
      <c r="N184" s="2877"/>
      <c r="O184" s="2878"/>
      <c r="P184" s="2877"/>
      <c r="Q184" s="2877"/>
      <c r="R184" s="2879"/>
    </row>
    <row r="185" s="2395" customFormat="1" spans="2:18">
      <c r="B185" s="2877"/>
      <c r="C185" s="2877"/>
      <c r="D185" s="2877"/>
      <c r="E185" s="2877"/>
      <c r="F185" s="2877"/>
      <c r="G185" s="2878"/>
      <c r="H185" s="2877"/>
      <c r="I185" s="2878"/>
      <c r="J185" s="2877"/>
      <c r="K185" s="2877"/>
      <c r="L185" s="2878"/>
      <c r="M185" s="2877"/>
      <c r="N185" s="2877"/>
      <c r="O185" s="2878"/>
      <c r="P185" s="2877"/>
      <c r="Q185" s="2877"/>
      <c r="R185" s="2879"/>
    </row>
    <row r="186" spans="1:7">
      <c r="A186" s="2395"/>
      <c r="B186" s="2877"/>
      <c r="C186" s="2877"/>
      <c r="E186" s="2877"/>
      <c r="F186" s="2877"/>
      <c r="G186" s="2878"/>
    </row>
    <row r="187" spans="1:7">
      <c r="A187" s="2395"/>
      <c r="B187" s="2877"/>
      <c r="C187" s="2877"/>
      <c r="E187" s="2877"/>
      <c r="F187" s="2877"/>
      <c r="G187" s="287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D14" sqref="D14"/>
    </sheetView>
  </sheetViews>
  <sheetFormatPr defaultColWidth="9" defaultRowHeight="13.5"/>
  <cols>
    <col min="1" max="1" width="25" style="2855" customWidth="1"/>
    <col min="2" max="9" width="15.75" style="2855" customWidth="1"/>
    <col min="10" max="16384" width="9" style="2855"/>
  </cols>
  <sheetData>
    <row r="1" ht="16.5" spans="1:11">
      <c r="A1" s="2856" t="s">
        <v>740</v>
      </c>
      <c r="B1" s="2856">
        <f>SUM(B14:B23)</f>
        <v>211.57</v>
      </c>
      <c r="C1" s="2857"/>
      <c r="D1" s="2857"/>
      <c r="E1" s="2857"/>
      <c r="F1" s="2857"/>
      <c r="G1" s="2858"/>
      <c r="H1" s="2859"/>
      <c r="I1" s="2859"/>
      <c r="J1" s="2859"/>
      <c r="K1" s="2859"/>
    </row>
    <row r="2" ht="16.5" spans="1:11">
      <c r="A2" s="2856" t="s">
        <v>741</v>
      </c>
      <c r="B2" s="2856">
        <f>SUM(C14:C23)</f>
        <v>0</v>
      </c>
      <c r="C2" s="2857"/>
      <c r="D2" s="2857"/>
      <c r="E2" s="2857"/>
      <c r="F2" s="2857"/>
      <c r="G2" s="2858"/>
      <c r="H2" s="2859"/>
      <c r="I2" s="2859"/>
      <c r="J2" s="2859"/>
      <c r="K2" s="2859"/>
    </row>
    <row r="3" ht="16.5" spans="1:11">
      <c r="A3" s="2856" t="s">
        <v>742</v>
      </c>
      <c r="B3" s="2860">
        <f>项目基本情况!D3</f>
        <v>45069</v>
      </c>
      <c r="C3" s="2857"/>
      <c r="D3" s="2857"/>
      <c r="E3" s="2857"/>
      <c r="F3" s="2857"/>
      <c r="G3" s="2858"/>
      <c r="H3" s="2859"/>
      <c r="I3" s="2859"/>
      <c r="J3" s="2859"/>
      <c r="K3" s="2859"/>
    </row>
    <row r="4" ht="33" spans="1:11">
      <c r="A4" s="2856" t="s">
        <v>743</v>
      </c>
      <c r="B4" s="2856" t="s">
        <v>744</v>
      </c>
      <c r="C4" s="2856" t="s">
        <v>745</v>
      </c>
      <c r="D4" s="2856" t="s">
        <v>746</v>
      </c>
      <c r="E4" s="2857"/>
      <c r="F4" s="2858"/>
      <c r="G4" s="2858"/>
      <c r="H4" s="2859"/>
      <c r="I4" s="2859"/>
      <c r="J4" s="2859"/>
      <c r="K4" s="2859"/>
    </row>
    <row r="5" ht="16.5" spans="1:11">
      <c r="A5" s="2856" t="s">
        <v>747</v>
      </c>
      <c r="B5" s="2856">
        <f ca="1">SUM(D14:D23)</f>
        <v>2550.8572</v>
      </c>
      <c r="C5" s="2856" t="e">
        <f ca="1">IF(B5=D14,结果表!H102,ROUND(B5*10000/$B$1,0))</f>
        <v>#DIV/0!</v>
      </c>
      <c r="D5" s="2856" t="e">
        <f ca="1">ROUND(B5*10000/$B$2,0)</f>
        <v>#DIV/0!</v>
      </c>
      <c r="E5" s="2857"/>
      <c r="F5" s="2858"/>
      <c r="G5" s="2858"/>
      <c r="H5" s="2859"/>
      <c r="I5" s="2859"/>
      <c r="J5" s="2859"/>
      <c r="K5" s="2859"/>
    </row>
    <row r="6" ht="16.5" spans="1:11">
      <c r="A6" s="2856" t="s">
        <v>748</v>
      </c>
      <c r="B6" s="2856">
        <f>SUM(G14:G23)</f>
        <v>0</v>
      </c>
      <c r="C6" s="2856">
        <f ca="1">IF(B6=G14,结果表!H108,ROUND(B6*10000/$B$1,0))</f>
        <v>0</v>
      </c>
      <c r="D6" s="2856" t="e">
        <f>ROUND(B6*10000/$B$2,0)</f>
        <v>#DIV/0!</v>
      </c>
      <c r="E6" s="2857"/>
      <c r="F6" s="2858"/>
      <c r="G6" s="2858"/>
      <c r="H6" s="2859"/>
      <c r="I6" s="2859"/>
      <c r="J6" s="2859"/>
      <c r="K6" s="2859"/>
    </row>
    <row r="7" ht="16.5" spans="1:11">
      <c r="A7" s="2856" t="s">
        <v>749</v>
      </c>
      <c r="B7" s="2856">
        <f>SUM(H14:H23)</f>
        <v>0</v>
      </c>
      <c r="C7" s="2856" t="str">
        <f ca="1">IF(B7=H14,结果表!H110,ROUND(B7*10000/$B$1,0))</f>
        <v>——</v>
      </c>
      <c r="D7" s="2856" t="e">
        <f>ROUND(B7*10000/$B$2,0)</f>
        <v>#DIV/0!</v>
      </c>
      <c r="E7" s="2857"/>
      <c r="F7" s="2858"/>
      <c r="G7" s="2858"/>
      <c r="H7" s="2859"/>
      <c r="I7" s="2859"/>
      <c r="J7" s="2859"/>
      <c r="K7" s="2859"/>
    </row>
    <row r="8" ht="16.5" spans="1:11">
      <c r="A8" s="2856" t="s">
        <v>336</v>
      </c>
      <c r="B8" s="2856">
        <f>SUM(I14:I23)</f>
        <v>0</v>
      </c>
      <c r="C8" s="2856" t="str">
        <f ca="1">IF(B8=I14,结果表!H112,ROUND(B8*10000/$B$1,0))</f>
        <v>——</v>
      </c>
      <c r="D8" s="2856" t="e">
        <f>ROUND(B8*10000/$B$2,0)</f>
        <v>#DIV/0!</v>
      </c>
      <c r="E8" s="2857"/>
      <c r="F8" s="2858"/>
      <c r="G8" s="2858"/>
      <c r="H8" s="2859"/>
      <c r="I8" s="2859"/>
      <c r="J8" s="2859"/>
      <c r="K8" s="2859"/>
    </row>
    <row r="9" ht="16.5" spans="1:11">
      <c r="A9" s="2856" t="s">
        <v>750</v>
      </c>
      <c r="B9" s="2861"/>
      <c r="C9" s="2857"/>
      <c r="D9" s="2857"/>
      <c r="E9" s="2857"/>
      <c r="F9" s="2858"/>
      <c r="G9" s="2858"/>
      <c r="H9" s="2859"/>
      <c r="I9" s="2859"/>
      <c r="J9" s="2859"/>
      <c r="K9" s="2859"/>
    </row>
    <row r="10" ht="16.5" spans="1:11">
      <c r="A10" s="2856" t="s">
        <v>751</v>
      </c>
      <c r="B10" s="2856">
        <f>IF(E10="",0,ROUND(B1*(E10*365/G10)/10000,0))</f>
        <v>0</v>
      </c>
      <c r="C10" s="2856" t="s">
        <v>752</v>
      </c>
      <c r="D10" s="2856" t="s">
        <v>751</v>
      </c>
      <c r="E10" s="2862"/>
      <c r="F10" s="2863" t="s">
        <v>753</v>
      </c>
      <c r="G10" s="2864"/>
      <c r="H10" s="2859"/>
      <c r="I10" s="2859"/>
      <c r="J10" s="2859"/>
      <c r="K10" s="2859"/>
    </row>
    <row r="11" ht="16.5" spans="1:11">
      <c r="A11" s="2856" t="s">
        <v>754</v>
      </c>
      <c r="B11" s="2861"/>
      <c r="C11" s="2857"/>
      <c r="D11" s="2857"/>
      <c r="E11" s="2857"/>
      <c r="F11" s="2858"/>
      <c r="G11" s="2858"/>
      <c r="H11" s="2859"/>
      <c r="I11" s="2859"/>
      <c r="J11" s="2859"/>
      <c r="K11" s="2859"/>
    </row>
    <row r="12" ht="16.5" spans="1:11">
      <c r="A12" s="2857"/>
      <c r="B12" s="2857"/>
      <c r="C12" s="2857"/>
      <c r="D12" s="2857"/>
      <c r="E12" s="2857"/>
      <c r="F12" s="2858"/>
      <c r="G12" s="2858"/>
      <c r="H12" s="2859"/>
      <c r="I12" s="2859"/>
      <c r="J12" s="2859"/>
      <c r="K12" s="2859"/>
    </row>
    <row r="13" ht="33" spans="1:11">
      <c r="A13" s="2865" t="s">
        <v>755</v>
      </c>
      <c r="B13" s="2866" t="s">
        <v>740</v>
      </c>
      <c r="C13" s="2866" t="s">
        <v>741</v>
      </c>
      <c r="D13" s="2866" t="s">
        <v>756</v>
      </c>
      <c r="E13" s="2856" t="s">
        <v>745</v>
      </c>
      <c r="F13" s="2856" t="s">
        <v>746</v>
      </c>
      <c r="G13" s="2866" t="s">
        <v>757</v>
      </c>
      <c r="H13" s="2866" t="s">
        <v>758</v>
      </c>
      <c r="I13" s="2866" t="s">
        <v>759</v>
      </c>
      <c r="J13" s="2858"/>
      <c r="K13" s="2859"/>
    </row>
    <row r="14" ht="16.5" spans="1:11">
      <c r="A14" s="2867" t="s">
        <v>760</v>
      </c>
      <c r="B14" s="2868">
        <f>'数据-汇总表'!E19</f>
        <v>211.57</v>
      </c>
      <c r="C14" s="2868"/>
      <c r="D14" s="2868">
        <f ca="1">ROUND(E14*B14/10000,4)</f>
        <v>2550.8572</v>
      </c>
      <c r="E14" s="2868">
        <f ca="1">结果表!G20</f>
        <v>120568</v>
      </c>
      <c r="F14" s="2868" t="e">
        <f ca="1">ROUND(D14*10000/C14,0)</f>
        <v>#DIV/0!</v>
      </c>
      <c r="G14" s="2868"/>
      <c r="H14" s="2868"/>
      <c r="I14" s="2868"/>
      <c r="J14" s="2858"/>
      <c r="K14" s="2859"/>
    </row>
    <row r="15" ht="16.5" spans="1:11">
      <c r="A15" s="2867" t="s">
        <v>761</v>
      </c>
      <c r="B15" s="2869"/>
      <c r="C15" s="2869"/>
      <c r="D15" s="2869"/>
      <c r="E15" s="2868" t="e">
        <f t="shared" ref="E15:E23" si="0">ROUND(D15*10000/B15,0)</f>
        <v>#DIV/0!</v>
      </c>
      <c r="F15" s="2868" t="e">
        <f t="shared" ref="F15:F23" si="1">ROUND(D15*10000/C15,0)</f>
        <v>#DIV/0!</v>
      </c>
      <c r="G15" s="2870"/>
      <c r="H15" s="2870"/>
      <c r="I15" s="2869"/>
      <c r="J15" s="2858"/>
      <c r="K15" s="2859"/>
    </row>
    <row r="16" ht="16.5" spans="1:11">
      <c r="A16" s="2867" t="s">
        <v>762</v>
      </c>
      <c r="B16" s="2869"/>
      <c r="C16" s="2869"/>
      <c r="D16" s="2869"/>
      <c r="E16" s="2868" t="e">
        <f t="shared" si="0"/>
        <v>#DIV/0!</v>
      </c>
      <c r="F16" s="2868" t="e">
        <f t="shared" si="1"/>
        <v>#DIV/0!</v>
      </c>
      <c r="G16" s="2870"/>
      <c r="H16" s="2870"/>
      <c r="I16" s="2869"/>
      <c r="J16" s="2859"/>
      <c r="K16" s="2859"/>
    </row>
    <row r="17" ht="16.5" spans="1:11">
      <c r="A17" s="2867" t="s">
        <v>763</v>
      </c>
      <c r="B17" s="2869"/>
      <c r="C17" s="2869"/>
      <c r="D17" s="2869"/>
      <c r="E17" s="2868" t="e">
        <f t="shared" si="0"/>
        <v>#DIV/0!</v>
      </c>
      <c r="F17" s="2868" t="e">
        <f t="shared" si="1"/>
        <v>#DIV/0!</v>
      </c>
      <c r="G17" s="2870"/>
      <c r="H17" s="2870"/>
      <c r="I17" s="2869"/>
      <c r="J17" s="2859"/>
      <c r="K17" s="2859"/>
    </row>
    <row r="18" ht="16.5" spans="1:11">
      <c r="A18" s="2867" t="s">
        <v>764</v>
      </c>
      <c r="B18" s="2869"/>
      <c r="C18" s="2869"/>
      <c r="D18" s="2869"/>
      <c r="E18" s="2868" t="e">
        <f t="shared" si="0"/>
        <v>#DIV/0!</v>
      </c>
      <c r="F18" s="2868" t="e">
        <f t="shared" si="1"/>
        <v>#DIV/0!</v>
      </c>
      <c r="G18" s="2869"/>
      <c r="H18" s="2869"/>
      <c r="I18" s="2869"/>
      <c r="J18" s="2859"/>
      <c r="K18" s="2859"/>
    </row>
    <row r="19" ht="16.5" spans="1:11">
      <c r="A19" s="2867" t="s">
        <v>765</v>
      </c>
      <c r="B19" s="2869"/>
      <c r="C19" s="2869"/>
      <c r="D19" s="2869"/>
      <c r="E19" s="2868" t="e">
        <f t="shared" si="0"/>
        <v>#DIV/0!</v>
      </c>
      <c r="F19" s="2868" t="e">
        <f t="shared" si="1"/>
        <v>#DIV/0!</v>
      </c>
      <c r="G19" s="2869"/>
      <c r="H19" s="2869"/>
      <c r="I19" s="2869"/>
      <c r="J19" s="2859"/>
      <c r="K19" s="2859"/>
    </row>
    <row r="20" ht="16.5" spans="1:11">
      <c r="A20" s="2867" t="s">
        <v>766</v>
      </c>
      <c r="B20" s="2869"/>
      <c r="C20" s="2869"/>
      <c r="D20" s="2869"/>
      <c r="E20" s="2868" t="e">
        <f t="shared" si="0"/>
        <v>#DIV/0!</v>
      </c>
      <c r="F20" s="2868" t="e">
        <f t="shared" si="1"/>
        <v>#DIV/0!</v>
      </c>
      <c r="G20" s="2869"/>
      <c r="H20" s="2869"/>
      <c r="I20" s="2869"/>
      <c r="J20" s="2859"/>
      <c r="K20" s="2859"/>
    </row>
    <row r="21" ht="16.5" spans="1:11">
      <c r="A21" s="2867" t="s">
        <v>767</v>
      </c>
      <c r="B21" s="2869"/>
      <c r="C21" s="2869"/>
      <c r="D21" s="2869"/>
      <c r="E21" s="2868" t="e">
        <f t="shared" si="0"/>
        <v>#DIV/0!</v>
      </c>
      <c r="F21" s="2868" t="e">
        <f t="shared" si="1"/>
        <v>#DIV/0!</v>
      </c>
      <c r="G21" s="2869"/>
      <c r="H21" s="2869"/>
      <c r="I21" s="2869"/>
      <c r="J21" s="2859"/>
      <c r="K21" s="2859"/>
    </row>
    <row r="22" ht="16.5" spans="1:11">
      <c r="A22" s="2867" t="s">
        <v>768</v>
      </c>
      <c r="B22" s="2869"/>
      <c r="C22" s="2869"/>
      <c r="D22" s="2869"/>
      <c r="E22" s="2868" t="e">
        <f t="shared" si="0"/>
        <v>#DIV/0!</v>
      </c>
      <c r="F22" s="2868" t="e">
        <f t="shared" si="1"/>
        <v>#DIV/0!</v>
      </c>
      <c r="G22" s="2869"/>
      <c r="H22" s="2869"/>
      <c r="I22" s="2869"/>
      <c r="J22" s="2859"/>
      <c r="K22" s="2859"/>
    </row>
    <row r="23" ht="16.5" spans="1:11">
      <c r="A23" s="2867" t="s">
        <v>769</v>
      </c>
      <c r="B23" s="2869"/>
      <c r="C23" s="2869"/>
      <c r="D23" s="2869"/>
      <c r="E23" s="2861" t="e">
        <f t="shared" si="0"/>
        <v>#DIV/0!</v>
      </c>
      <c r="F23" s="2861" t="e">
        <f t="shared" si="1"/>
        <v>#DIV/0!</v>
      </c>
      <c r="G23" s="2869"/>
      <c r="H23" s="2869"/>
      <c r="I23" s="2869"/>
      <c r="J23" s="2859"/>
      <c r="K23" s="2859"/>
    </row>
    <row r="24" spans="1:11">
      <c r="A24" s="2859"/>
      <c r="B24" s="2859"/>
      <c r="C24" s="2859"/>
      <c r="D24" s="2859"/>
      <c r="E24" s="2859"/>
      <c r="F24" s="2859"/>
      <c r="G24" s="2859"/>
      <c r="H24" s="2859"/>
      <c r="I24" s="2859"/>
      <c r="J24" s="2859"/>
      <c r="K24" s="2859"/>
    </row>
    <row r="25" spans="1:11">
      <c r="A25" s="2859"/>
      <c r="B25" s="2859"/>
      <c r="C25" s="2859"/>
      <c r="D25" s="2859"/>
      <c r="E25" s="2859"/>
      <c r="F25" s="2859"/>
      <c r="G25" s="2859"/>
      <c r="H25" s="2859"/>
      <c r="I25" s="2859"/>
      <c r="J25" s="2859"/>
      <c r="K25" s="2859"/>
    </row>
    <row r="26" spans="1:11">
      <c r="A26" s="2859"/>
      <c r="B26" s="2859"/>
      <c r="C26" s="2859"/>
      <c r="D26" s="2859"/>
      <c r="E26" s="2859"/>
      <c r="F26" s="2859"/>
      <c r="G26" s="2859"/>
      <c r="H26" s="2859"/>
      <c r="I26" s="2859"/>
      <c r="J26" s="2859"/>
      <c r="K26" s="285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130" zoomScalePageLayoutView="80" zoomScaleNormal="100" topLeftCell="E16" workbookViewId="0">
      <selection activeCell="G28" sqref="G28"/>
    </sheetView>
  </sheetViews>
  <sheetFormatPr defaultColWidth="12.625" defaultRowHeight="21.75" customHeight="1"/>
  <cols>
    <col min="1" max="2" width="12.625" style="2506"/>
    <col min="3" max="4" width="12.625" style="2506" customWidth="1"/>
    <col min="5" max="9" width="12.625" style="2506"/>
    <col min="10" max="11" width="12.625" style="993" customWidth="1"/>
    <col min="12" max="12" width="12.625" style="993"/>
    <col min="13" max="13" width="14.125" style="993" customWidth="1"/>
    <col min="14" max="26" width="12.625" style="993"/>
    <col min="27" max="35" width="12.625" style="2505"/>
    <col min="36" max="16384" width="12.625" style="2506"/>
  </cols>
  <sheetData>
    <row r="1" customHeight="1" spans="1:9">
      <c r="A1" s="2507" t="s">
        <v>770</v>
      </c>
      <c r="B1" s="2508"/>
      <c r="C1" s="2509" t="s">
        <v>412</v>
      </c>
      <c r="D1" s="2508"/>
      <c r="E1" s="2508"/>
      <c r="F1" s="2510" t="s">
        <v>771</v>
      </c>
      <c r="G1" s="2511"/>
      <c r="H1" s="2512" t="str">
        <f>IF(G1="现房","——","估价对象范围")</f>
        <v>估价对象范围</v>
      </c>
      <c r="I1" s="2671"/>
    </row>
    <row r="2" customHeight="1" spans="1:9">
      <c r="A2" s="2513" t="str">
        <f>项目基本情况!S2</f>
        <v>北京市房地产</v>
      </c>
      <c r="B2" s="2514"/>
      <c r="C2" s="2514"/>
      <c r="D2" s="2514"/>
      <c r="E2" s="2514"/>
      <c r="F2" s="2514"/>
      <c r="G2" s="2514"/>
      <c r="H2" s="2514"/>
      <c r="I2" s="2672"/>
    </row>
    <row r="3" ht="13.5" spans="1:9">
      <c r="A3" s="2515" t="s">
        <v>772</v>
      </c>
      <c r="B3" s="2079"/>
      <c r="C3" s="2079"/>
      <c r="D3" s="2079"/>
      <c r="E3" s="2079"/>
      <c r="F3" s="2079"/>
      <c r="G3" s="2079"/>
      <c r="H3" s="2079"/>
      <c r="I3" s="2079"/>
    </row>
    <row r="4" ht="14.25" spans="1:12">
      <c r="A4" s="2516" t="s">
        <v>773</v>
      </c>
      <c r="B4" s="2517" t="s">
        <v>774</v>
      </c>
      <c r="C4" s="2518" t="s">
        <v>266</v>
      </c>
      <c r="D4" s="2518" t="s">
        <v>775</v>
      </c>
      <c r="E4" s="2519" t="s">
        <v>776</v>
      </c>
      <c r="F4" s="2520"/>
      <c r="G4" s="2520"/>
      <c r="H4" s="2520"/>
      <c r="I4" s="2673"/>
      <c r="K4" s="994" t="str">
        <f>IF(ISNUMBER(FIND("比较法",结果表!C4)),"比较法",IF(ISNUMBER(FIND("成本法",结果表!C4)),"成本法",IF(ISNUMBER(FIND("假设开发法",结果表!C4)),"假设开发法",IF(ISNUMBER(FIND("收益法",结果表!C4)),"收益法","基准地价系数修正法"))))</f>
        <v>收益法</v>
      </c>
      <c r="L4" s="994" t="str">
        <f>IF(ISNUMBER(FIND("比较法",结果表!D4)),"比较法",IF(ISNUMBER(FIND("成本法",结果表!D4)),"成本法",IF(ISNUMBER(FIND("假设开发法",结果表!D4)),"假设开发法",IF(ISNUMBER(FIND("收益法",结果表!D4)),"收益法","基准地价系数修正法"))))</f>
        <v>比较法</v>
      </c>
    </row>
    <row r="5" ht="13.5" spans="1:9">
      <c r="A5" s="2521" t="s">
        <v>777</v>
      </c>
      <c r="B5" s="1361">
        <v>25</v>
      </c>
      <c r="C5" s="2522"/>
      <c r="D5" s="2523"/>
      <c r="E5" s="2068" t="s">
        <v>778</v>
      </c>
      <c r="F5" s="2524"/>
      <c r="G5" s="2524"/>
      <c r="H5" s="2524"/>
      <c r="I5" s="2389"/>
    </row>
    <row r="6" ht="13.5" spans="1:9">
      <c r="A6" s="2521"/>
      <c r="B6" s="1361"/>
      <c r="C6" s="2525"/>
      <c r="D6" s="2523"/>
      <c r="E6" s="2068" t="s">
        <v>779</v>
      </c>
      <c r="F6" s="2524"/>
      <c r="G6" s="2524"/>
      <c r="H6" s="2524"/>
      <c r="I6" s="2389"/>
    </row>
    <row r="7" ht="13.5" spans="1:9">
      <c r="A7" s="2521"/>
      <c r="B7" s="1361"/>
      <c r="C7" s="2526"/>
      <c r="D7" s="2523"/>
      <c r="E7" s="2068" t="s">
        <v>780</v>
      </c>
      <c r="F7" s="2524"/>
      <c r="G7" s="2524"/>
      <c r="H7" s="2524"/>
      <c r="I7" s="2389"/>
    </row>
    <row r="8" ht="13.5" spans="1:9">
      <c r="A8" s="2521" t="s">
        <v>781</v>
      </c>
      <c r="B8" s="1361">
        <v>15</v>
      </c>
      <c r="C8" s="2522"/>
      <c r="D8" s="2523"/>
      <c r="E8" s="2068" t="s">
        <v>782</v>
      </c>
      <c r="F8" s="2524"/>
      <c r="G8" s="2524"/>
      <c r="H8" s="2524"/>
      <c r="I8" s="2389"/>
    </row>
    <row r="9" ht="13.5" spans="1:9">
      <c r="A9" s="2521"/>
      <c r="B9" s="1361"/>
      <c r="C9" s="2526"/>
      <c r="D9" s="2523"/>
      <c r="E9" s="2068" t="s">
        <v>783</v>
      </c>
      <c r="F9" s="2524"/>
      <c r="G9" s="2524"/>
      <c r="H9" s="2524"/>
      <c r="I9" s="2389"/>
    </row>
    <row r="10" ht="13.5" spans="1:9">
      <c r="A10" s="2521" t="s">
        <v>784</v>
      </c>
      <c r="B10" s="1361">
        <v>15</v>
      </c>
      <c r="C10" s="2522"/>
      <c r="D10" s="2523"/>
      <c r="E10" s="2068" t="s">
        <v>785</v>
      </c>
      <c r="F10" s="2524"/>
      <c r="G10" s="2524"/>
      <c r="H10" s="2524"/>
      <c r="I10" s="2389"/>
    </row>
    <row r="11" ht="13.5" spans="1:9">
      <c r="A11" s="2521"/>
      <c r="B11" s="1361"/>
      <c r="C11" s="2526"/>
      <c r="D11" s="2523"/>
      <c r="E11" s="2068" t="s">
        <v>786</v>
      </c>
      <c r="F11" s="2524"/>
      <c r="G11" s="2524"/>
      <c r="H11" s="2524"/>
      <c r="I11" s="2389"/>
    </row>
    <row r="12" ht="13.5" spans="1:9">
      <c r="A12" s="2521" t="s">
        <v>787</v>
      </c>
      <c r="B12" s="1361">
        <v>15</v>
      </c>
      <c r="C12" s="2522"/>
      <c r="D12" s="2523"/>
      <c r="E12" s="2068" t="s">
        <v>788</v>
      </c>
      <c r="F12" s="2524"/>
      <c r="G12" s="2524"/>
      <c r="H12" s="2524"/>
      <c r="I12" s="2389"/>
    </row>
    <row r="13" ht="13.5" spans="1:9">
      <c r="A13" s="2521"/>
      <c r="B13" s="1361"/>
      <c r="C13" s="2526"/>
      <c r="D13" s="2523"/>
      <c r="E13" s="2068" t="s">
        <v>789</v>
      </c>
      <c r="F13" s="2524"/>
      <c r="G13" s="2524"/>
      <c r="H13" s="2524"/>
      <c r="I13" s="2389"/>
    </row>
    <row r="14" ht="13.5" spans="1:9">
      <c r="A14" s="2521" t="s">
        <v>790</v>
      </c>
      <c r="B14" s="1361">
        <v>30</v>
      </c>
      <c r="C14" s="2522">
        <v>2</v>
      </c>
      <c r="D14" s="2523">
        <v>8</v>
      </c>
      <c r="E14" s="2068" t="s">
        <v>791</v>
      </c>
      <c r="F14" s="2524"/>
      <c r="G14" s="2524"/>
      <c r="H14" s="2524"/>
      <c r="I14" s="2389"/>
    </row>
    <row r="15" ht="13.5" spans="1:9">
      <c r="A15" s="2521"/>
      <c r="B15" s="1361"/>
      <c r="C15" s="2525"/>
      <c r="D15" s="2523"/>
      <c r="E15" s="2068" t="s">
        <v>792</v>
      </c>
      <c r="F15" s="2524"/>
      <c r="G15" s="2524"/>
      <c r="H15" s="2524"/>
      <c r="I15" s="2389"/>
    </row>
    <row r="16" ht="13.5" spans="1:9">
      <c r="A16" s="2521"/>
      <c r="B16" s="1361"/>
      <c r="C16" s="2526"/>
      <c r="D16" s="2523"/>
      <c r="E16" s="2068" t="s">
        <v>793</v>
      </c>
      <c r="F16" s="2524"/>
      <c r="G16" s="2524"/>
      <c r="H16" s="2524"/>
      <c r="I16" s="2389"/>
    </row>
    <row r="17" ht="14.25" spans="1:13">
      <c r="A17" s="2527" t="s">
        <v>794</v>
      </c>
      <c r="B17" s="2528"/>
      <c r="C17" s="2529">
        <f>SUM(C5:C16)</f>
        <v>2</v>
      </c>
      <c r="D17" s="2529">
        <f>SUM(D5:D16)</f>
        <v>8</v>
      </c>
      <c r="E17" s="1037"/>
      <c r="F17" s="1037"/>
      <c r="G17" s="1037"/>
      <c r="H17" s="1037"/>
      <c r="I17" s="1037"/>
      <c r="K17" s="2026"/>
      <c r="L17" s="2026" t="s">
        <v>795</v>
      </c>
      <c r="M17" s="2026" t="s">
        <v>796</v>
      </c>
    </row>
    <row r="18" ht="31.9" customHeight="1" spans="1:13">
      <c r="A18" s="2530" t="s">
        <v>797</v>
      </c>
      <c r="B18" s="2531"/>
      <c r="C18" s="2532">
        <f>ROUND(C17/SUM(C17:D17),2)</f>
        <v>0.2</v>
      </c>
      <c r="D18" s="2532">
        <f>1-C18</f>
        <v>0.8</v>
      </c>
      <c r="E18" s="2533" t="s">
        <v>798</v>
      </c>
      <c r="F18" s="2534"/>
      <c r="G18" s="2534"/>
      <c r="H18" s="2534"/>
      <c r="I18" s="2534"/>
      <c r="K18" s="2026" t="s">
        <v>458</v>
      </c>
      <c r="L18" s="2026">
        <f>IF(C1="",'数据-汇总表'!E3,SUMIF(项目类型,C1,'数据-汇总表'!E17:E26)+SUMIF(项目类型,C1,'数据-汇总表'!I17:I26))</f>
        <v>211.57</v>
      </c>
      <c r="M18" s="2026">
        <f>IF(C1="",'数据-汇总表'!E3,SUMIF(项目类型,C1,'数据-汇总表'!E17:E26))</f>
        <v>211.57</v>
      </c>
    </row>
    <row r="19" ht="14.25" spans="1:13">
      <c r="A19" s="2535" t="s">
        <v>799</v>
      </c>
      <c r="B19" s="2536" t="s">
        <v>800</v>
      </c>
      <c r="C19" s="2537">
        <f ca="1">SUMIF(INDIRECT("'"&amp;C4&amp;"'"&amp;"!A:A"),结果表!B19,INDIRECT("'"&amp;C4&amp;"'"&amp;"!B:B"))</f>
        <v>1242.8229</v>
      </c>
      <c r="D19" s="1518">
        <f ca="1">SUMIF(INDIRECT("'"&amp;D4&amp;"'"&amp;"!A:A"),结果表!B19,INDIRECT("'"&amp;D4&amp;"'"&amp;"!B:B"))</f>
        <v>2877.8598</v>
      </c>
      <c r="E19" s="2535" t="s">
        <v>801</v>
      </c>
      <c r="F19" s="2536" t="s">
        <v>800</v>
      </c>
      <c r="G19" s="2538">
        <f ca="1">ROUND(C19*$C$18+D19*$D$18,0)</f>
        <v>2551</v>
      </c>
      <c r="H19" s="2539" t="s">
        <v>802</v>
      </c>
      <c r="I19" s="1037"/>
      <c r="K19" s="2026" t="s">
        <v>462</v>
      </c>
      <c r="L19" s="2026">
        <f>IF(C1="",'数据-汇总表'!D3,SUMIF(项目类型,C1,'数据-汇总表'!D17:D26)+SUMIF(项目类型,C1,'数据-汇总表'!H17:H27))</f>
        <v>0</v>
      </c>
      <c r="M19" s="2026">
        <f>IF(C1="",'数据-汇总表'!D3,SUMIF(项目类型,C1,'数据-汇总表'!D17:D26))</f>
        <v>0</v>
      </c>
    </row>
    <row r="20" ht="15" spans="1:9">
      <c r="A20" s="2540"/>
      <c r="B20" s="2541" t="s">
        <v>803</v>
      </c>
      <c r="C20" s="2351">
        <f ca="1">SUMIF(INDIRECT("'"&amp;C4&amp;"'"&amp;"!A:A"),结果表!B20,INDIRECT("'"&amp;C4&amp;"'"&amp;"!B:B"))</f>
        <v>58743</v>
      </c>
      <c r="D20" s="2354">
        <f ca="1">SUMIF(INDIRECT("'"&amp;D4&amp;"'"&amp;"!A:A"),结果表!B20,INDIRECT("'"&amp;D4&amp;"'"&amp;"!B:B"))</f>
        <v>136024</v>
      </c>
      <c r="E20" s="2540"/>
      <c r="F20" s="2541" t="s">
        <v>803</v>
      </c>
      <c r="G20" s="2542">
        <f ca="1">ROUND(C20*$C$18+D20*$D$18,0)</f>
        <v>120568</v>
      </c>
      <c r="H20" s="2184" t="s">
        <v>804</v>
      </c>
      <c r="I20" s="1037"/>
    </row>
    <row r="21" ht="15" customHeight="1" spans="1:9">
      <c r="A21" s="2470"/>
      <c r="B21" s="2543" t="s">
        <v>805</v>
      </c>
      <c r="C21" s="2544" t="e">
        <f ca="1">ROUND(C19*10000/L19,0)</f>
        <v>#DIV/0!</v>
      </c>
      <c r="D21" s="2545" t="e">
        <f ca="1">ROUND(D19*10000/L19,0)</f>
        <v>#DIV/0!</v>
      </c>
      <c r="E21" s="2470"/>
      <c r="F21" s="2543" t="s">
        <v>805</v>
      </c>
      <c r="G21" s="2546" t="e">
        <f ca="1">ROUND(G19*10000/L19,0)</f>
        <v>#DIV/0!</v>
      </c>
      <c r="H21" s="2547" t="s">
        <v>804</v>
      </c>
      <c r="I21" s="1037"/>
    </row>
    <row r="22" ht="15" spans="1:9">
      <c r="A22" s="2548" t="s">
        <v>806</v>
      </c>
      <c r="B22" s="2549"/>
      <c r="C22" s="2550"/>
      <c r="D22" s="2551">
        <f ca="1">IF(C19&lt;D19,D19/C19-1,C19/D19-1)</f>
        <v>1.31558317761927</v>
      </c>
      <c r="E22" s="1037"/>
      <c r="F22" s="1037"/>
      <c r="G22" s="1037">
        <f ca="1">6000/G20</f>
        <v>0.0497644482781501</v>
      </c>
      <c r="H22" s="1037"/>
      <c r="I22" s="1037"/>
    </row>
    <row r="23" ht="14.25" spans="1:9">
      <c r="A23" s="2508"/>
      <c r="B23" s="2508"/>
      <c r="C23" s="2508"/>
      <c r="D23" s="2508"/>
      <c r="E23" s="1037"/>
      <c r="F23" s="1037"/>
      <c r="G23" s="1037"/>
      <c r="H23" s="1037"/>
      <c r="I23" s="1037"/>
    </row>
    <row r="24" ht="14.25" spans="1:9">
      <c r="A24" s="2552" t="s">
        <v>807</v>
      </c>
      <c r="B24" s="2536" t="s">
        <v>800</v>
      </c>
      <c r="C24" s="2538">
        <f>IF(B30=0,0,D30)</f>
        <v>0</v>
      </c>
      <c r="D24" s="2553"/>
      <c r="E24" s="1037"/>
      <c r="F24" s="1037"/>
      <c r="G24" s="1037"/>
      <c r="H24" s="1037"/>
      <c r="I24" s="1037"/>
    </row>
    <row r="25" ht="14.25" spans="1:9">
      <c r="A25" s="2554"/>
      <c r="B25" s="2541" t="s">
        <v>803</v>
      </c>
      <c r="C25" s="2555">
        <f>IF(B30=0,0,C30)</f>
        <v>0</v>
      </c>
      <c r="D25" s="2556"/>
      <c r="E25" s="1037"/>
      <c r="F25" s="1037"/>
      <c r="G25" s="1037">
        <f ca="1">G20/D20</f>
        <v>0.886372993001235</v>
      </c>
      <c r="H25" s="1037"/>
      <c r="I25" s="1037"/>
    </row>
    <row r="26" ht="13.5" customHeight="1" spans="1:9">
      <c r="A26" s="2557" t="s">
        <v>808</v>
      </c>
      <c r="B26" s="2558" t="s">
        <v>809</v>
      </c>
      <c r="C26" s="2558" t="s">
        <v>810</v>
      </c>
      <c r="D26" s="2559" t="s">
        <v>811</v>
      </c>
      <c r="E26" s="1037"/>
      <c r="F26" s="1037"/>
      <c r="G26" s="1037"/>
      <c r="H26" s="1037"/>
      <c r="I26" s="1037"/>
    </row>
    <row r="27" ht="14.25" spans="1:9">
      <c r="A27" s="2557"/>
      <c r="B27" s="2558">
        <v>0</v>
      </c>
      <c r="C27" s="2558">
        <v>0</v>
      </c>
      <c r="D27" s="2559">
        <f>ROUND(C27*B27/10000,0)</f>
        <v>0</v>
      </c>
      <c r="E27" s="1037"/>
      <c r="F27" s="1037"/>
      <c r="G27" s="1037"/>
      <c r="H27" s="1037"/>
      <c r="I27" s="1037"/>
    </row>
    <row r="28" ht="14.25" spans="1:9">
      <c r="A28" s="2557"/>
      <c r="B28" s="2558"/>
      <c r="C28" s="2558"/>
      <c r="D28" s="2559"/>
      <c r="E28" s="1037"/>
      <c r="F28" s="1037"/>
      <c r="G28" s="1037"/>
      <c r="H28" s="1037"/>
      <c r="I28" s="1037"/>
    </row>
    <row r="29" ht="14.25" spans="1:9">
      <c r="A29" s="2557"/>
      <c r="B29" s="2558"/>
      <c r="C29" s="2558"/>
      <c r="D29" s="2559"/>
      <c r="E29" s="1037"/>
      <c r="F29" s="1037"/>
      <c r="G29" s="1037"/>
      <c r="H29" s="1037"/>
      <c r="I29" s="1037"/>
    </row>
    <row r="30" ht="15" spans="1:9">
      <c r="A30" s="2558" t="s">
        <v>812</v>
      </c>
      <c r="B30" s="2558"/>
      <c r="C30" s="2558"/>
      <c r="D30" s="2558"/>
      <c r="E30" s="2560" t="s">
        <v>813</v>
      </c>
      <c r="F30" s="1037"/>
      <c r="G30" s="1037"/>
      <c r="H30" s="1037"/>
      <c r="I30" s="1037"/>
    </row>
    <row r="31" s="2502" customFormat="1" ht="26.45" customHeight="1" spans="1:36">
      <c r="A31" s="2561"/>
      <c r="B31" s="2562"/>
      <c r="C31" s="2562"/>
      <c r="D31" s="2562"/>
      <c r="E31" s="2562"/>
      <c r="F31" s="2562"/>
      <c r="G31" s="2562"/>
      <c r="H31" s="2562"/>
      <c r="I31" s="2674" t="s">
        <v>814</v>
      </c>
      <c r="J31" s="2675"/>
      <c r="K31" s="2676"/>
      <c r="L31" s="2676"/>
      <c r="M31" s="2676"/>
      <c r="N31" s="2676"/>
      <c r="O31" s="2676"/>
      <c r="P31" s="2676"/>
      <c r="Q31" s="2676"/>
      <c r="R31" s="2676"/>
      <c r="S31" s="2676"/>
      <c r="T31" s="2676"/>
      <c r="U31" s="2676"/>
      <c r="V31" s="2676"/>
      <c r="W31" s="2676"/>
      <c r="X31" s="2676"/>
      <c r="Y31" s="2676"/>
      <c r="Z31" s="2676"/>
      <c r="AA31" s="2676"/>
      <c r="AB31" s="2710"/>
      <c r="AC31" s="2710"/>
      <c r="AD31" s="2710"/>
      <c r="AE31" s="2710"/>
      <c r="AF31" s="2710"/>
      <c r="AG31" s="2710"/>
      <c r="AH31" s="2710"/>
      <c r="AI31" s="2710"/>
      <c r="AJ31" s="2710"/>
    </row>
    <row r="32" ht="16.5" spans="1:9">
      <c r="A32" s="2563" t="s">
        <v>815</v>
      </c>
      <c r="B32" s="2564"/>
      <c r="C32" s="2565">
        <f ca="1">IF(D32="总价",G19-C24,G20-C25)</f>
        <v>120568</v>
      </c>
      <c r="D32" s="2566"/>
      <c r="E32" s="1037"/>
      <c r="F32" s="1037"/>
      <c r="G32" s="1037"/>
      <c r="H32" s="1037"/>
      <c r="I32" s="1037"/>
    </row>
    <row r="33" ht="15" spans="1:9">
      <c r="A33" s="2411" t="s">
        <v>816</v>
      </c>
      <c r="B33" s="2567"/>
      <c r="C33" s="2568"/>
      <c r="D33" s="2569"/>
      <c r="E33" s="2570" t="s">
        <v>817</v>
      </c>
      <c r="F33" s="2571" t="str">
        <f>IF(D32="楼面单价","取值（单价）","取值（总价）")</f>
        <v>取值（总价）</v>
      </c>
      <c r="G33" s="1037"/>
      <c r="H33" s="1037"/>
      <c r="I33" s="1037"/>
    </row>
    <row r="34" ht="15" spans="1:9">
      <c r="A34" s="2572"/>
      <c r="B34" s="2573" t="s">
        <v>818</v>
      </c>
      <c r="C34" s="2574" t="e">
        <f ca="1">IF(C33="自定义",F34,C32-C35)</f>
        <v>#REF!</v>
      </c>
      <c r="D34" s="2575" t="e">
        <f ca="1">IF(C33="自定义",ROUND(C34/C32,3),IF(C33="收益比率",SUMIF(INDIRECT("'"&amp;D33&amp;"'"&amp;"!b:b"),"土地收益比率",INDIRECT("'"&amp;D33&amp;"'"&amp;"!c:c")),SUMIF(INDIRECT("'"&amp;D33&amp;"'"&amp;"!b:b"),"土地成本比率",INDIRECT("'"&amp;D33&amp;"'"&amp;"!c:c"))))</f>
        <v>#REF!</v>
      </c>
      <c r="E34" s="2576" t="s">
        <v>819</v>
      </c>
      <c r="F34" s="2577"/>
      <c r="G34" s="1037"/>
      <c r="H34" s="1037"/>
      <c r="I34" s="1037"/>
    </row>
    <row r="35" ht="15.75" spans="1:9">
      <c r="A35" s="2578"/>
      <c r="B35" s="2579" t="s">
        <v>820</v>
      </c>
      <c r="C35" s="2580" t="e">
        <f ca="1">IF(C33="自定义",F35,ROUND(C32*D35,0))</f>
        <v>#REF!</v>
      </c>
      <c r="D35" s="2581" t="e">
        <f ca="1">IF(C33="自定义",ROUND(C35/C32,3),IF(C33="收益比率",SUMIF(INDIRECT("'"&amp;D33&amp;"'"&amp;"!b:b"),"建筑物收益比率",INDIRECT("'"&amp;D33&amp;"'"&amp;"!c:c")),SUMIF(INDIRECT("'"&amp;D33&amp;"'"&amp;"!b:b"),"建筑物成本比率",INDIRECT("'"&amp;D33&amp;"'"&amp;"!c:c"))))</f>
        <v>#REF!</v>
      </c>
      <c r="E35" s="2582" t="s">
        <v>821</v>
      </c>
      <c r="F35" s="2583"/>
      <c r="G35" s="1037"/>
      <c r="H35" s="1037"/>
      <c r="I35" s="1037"/>
    </row>
    <row r="36" ht="15.75" spans="1:9">
      <c r="A36" s="2584" t="s">
        <v>822</v>
      </c>
      <c r="B36" s="2585" t="s">
        <v>823</v>
      </c>
      <c r="C36" s="2586"/>
      <c r="D36" s="2587"/>
      <c r="E36" s="2588"/>
      <c r="F36" s="2589"/>
      <c r="G36" s="1037"/>
      <c r="H36" s="1037"/>
      <c r="I36" s="1037"/>
    </row>
    <row r="37" ht="15.75" spans="1:9">
      <c r="A37" s="2590"/>
      <c r="B37" s="2591" t="s">
        <v>824</v>
      </c>
      <c r="C37" s="2592"/>
      <c r="D37" s="2593"/>
      <c r="E37" s="2593"/>
      <c r="F37" s="2589"/>
      <c r="G37" s="1037"/>
      <c r="H37" s="1037"/>
      <c r="I37" s="1037"/>
    </row>
    <row r="38" ht="15.75" spans="1:9">
      <c r="A38" s="2594"/>
      <c r="B38" s="2595" t="s">
        <v>825</v>
      </c>
      <c r="C38" s="2596"/>
      <c r="D38" s="2597" t="s">
        <v>826</v>
      </c>
      <c r="E38" s="2593"/>
      <c r="F38" s="2589"/>
      <c r="G38" s="1037"/>
      <c r="H38" s="1037"/>
      <c r="I38" s="1037"/>
    </row>
    <row r="39" ht="14.25" spans="1:9">
      <c r="A39" s="2540" t="s">
        <v>827</v>
      </c>
      <c r="B39" s="2598" t="s">
        <v>809</v>
      </c>
      <c r="C39" s="2599" t="s">
        <v>810</v>
      </c>
      <c r="D39" s="2599" t="s">
        <v>828</v>
      </c>
      <c r="E39" s="2600" t="s">
        <v>811</v>
      </c>
      <c r="F39" s="2589"/>
      <c r="G39" s="1037"/>
      <c r="H39" s="1037"/>
      <c r="I39" s="1037"/>
    </row>
    <row r="40" ht="14.25" spans="1:9">
      <c r="A40" s="2601" t="s">
        <v>829</v>
      </c>
      <c r="B40" s="2602"/>
      <c r="C40" s="1055"/>
      <c r="D40" s="1055"/>
      <c r="E40" s="2603"/>
      <c r="F40" s="2589"/>
      <c r="G40" s="1037"/>
      <c r="H40" s="1037"/>
      <c r="I40" s="1037"/>
    </row>
    <row r="41" ht="14.25" spans="1:9">
      <c r="A41" s="2601" t="s">
        <v>830</v>
      </c>
      <c r="B41" s="2602"/>
      <c r="C41" s="1055"/>
      <c r="D41" s="1055"/>
      <c r="E41" s="2603"/>
      <c r="F41" s="2589"/>
      <c r="G41" s="1037"/>
      <c r="H41" s="1037"/>
      <c r="I41" s="1037"/>
    </row>
    <row r="42" ht="15" spans="1:9">
      <c r="A42" s="2604"/>
      <c r="B42" s="2605"/>
      <c r="C42" s="2606"/>
      <c r="D42" s="2606"/>
      <c r="E42" s="2583"/>
      <c r="F42" s="2589"/>
      <c r="G42" s="1037"/>
      <c r="H42" s="1037"/>
      <c r="I42" s="1037"/>
    </row>
    <row r="43" ht="13.5" spans="1:9">
      <c r="A43" s="2607"/>
      <c r="B43" s="2607"/>
      <c r="C43" s="2607"/>
      <c r="D43" s="2607"/>
      <c r="E43" s="2607"/>
      <c r="F43" s="2608"/>
      <c r="G43" s="2608"/>
      <c r="H43" s="2608"/>
      <c r="I43" s="2677"/>
    </row>
    <row r="44" ht="18.75" spans="1:15">
      <c r="A44" s="2609" t="s">
        <v>831</v>
      </c>
      <c r="B44" s="2610"/>
      <c r="C44" s="2610"/>
      <c r="D44" s="2611"/>
      <c r="E44" s="2611"/>
      <c r="F44" s="2612"/>
      <c r="G44" s="2612"/>
      <c r="H44" s="2612"/>
      <c r="I44" s="2612"/>
      <c r="J44" s="2678" t="s">
        <v>832</v>
      </c>
      <c r="K44" s="2679"/>
      <c r="L44" s="2679"/>
      <c r="M44" s="2679"/>
      <c r="N44" s="2679"/>
      <c r="O44" s="2679"/>
    </row>
    <row r="45" ht="14.25" customHeight="1" spans="1:15">
      <c r="A45" s="2613" t="s">
        <v>833</v>
      </c>
      <c r="B45" s="2614"/>
      <c r="C45" s="2615"/>
      <c r="D45" s="2025" t="e">
        <f ca="1">ROUND(H101*F45,0)</f>
        <v>#REF!</v>
      </c>
      <c r="E45" s="2616" t="s">
        <v>834</v>
      </c>
      <c r="F45" s="2617">
        <v>1</v>
      </c>
      <c r="G45" s="2618" t="s">
        <v>835</v>
      </c>
      <c r="H45" s="1037"/>
      <c r="I45" s="1037"/>
      <c r="J45" s="2680" t="s">
        <v>836</v>
      </c>
      <c r="K45" s="2680"/>
      <c r="L45" s="2680"/>
      <c r="M45" s="2680"/>
      <c r="N45" s="2680"/>
      <c r="O45" s="2680"/>
    </row>
    <row r="46" ht="14.25" customHeight="1" spans="1:15">
      <c r="A46" s="2619" t="s">
        <v>837</v>
      </c>
      <c r="B46" s="2620"/>
      <c r="C46" s="2620"/>
      <c r="D46" s="2620"/>
      <c r="E46" s="2620"/>
      <c r="F46" s="2620"/>
      <c r="G46" s="2621"/>
      <c r="H46" s="2622"/>
      <c r="I46" s="1038"/>
      <c r="J46" s="650">
        <v>1</v>
      </c>
      <c r="K46" s="2681" t="s">
        <v>838</v>
      </c>
      <c r="L46" s="2681"/>
      <c r="M46" s="2682"/>
      <c r="N46" s="2682"/>
      <c r="O46" s="2682"/>
    </row>
    <row r="47" ht="12" customHeight="1" spans="1:15">
      <c r="A47" s="2623" t="s">
        <v>839</v>
      </c>
      <c r="B47" s="2624"/>
      <c r="C47" s="2625"/>
      <c r="D47" s="2078" t="s">
        <v>840</v>
      </c>
      <c r="E47" s="2026" t="s">
        <v>841</v>
      </c>
      <c r="F47" s="2626" t="s">
        <v>842</v>
      </c>
      <c r="G47" s="2627" t="s">
        <v>843</v>
      </c>
      <c r="H47" s="2628"/>
      <c r="I47" s="1038"/>
      <c r="J47" s="650">
        <v>2</v>
      </c>
      <c r="K47" s="2681" t="s">
        <v>844</v>
      </c>
      <c r="L47" s="2681"/>
      <c r="M47" s="2683">
        <f>'数据-取费表'!B2</f>
        <v>45069</v>
      </c>
      <c r="N47" s="2683"/>
      <c r="O47" s="2683"/>
    </row>
    <row r="48" ht="24.75" spans="1:15">
      <c r="A48" s="2629" t="s">
        <v>845</v>
      </c>
      <c r="B48" s="2082"/>
      <c r="C48" s="2082"/>
      <c r="D48" s="2182" t="b">
        <f ca="1">IF(H48="情况1",0,IF(H48="情况2",D52,IF(H48="情况3",D53,IF(H48="情况4",D54))))</f>
        <v>0</v>
      </c>
      <c r="E48" s="2082" t="str">
        <f>IF(H48="情况4","(销售额-原购置价)×税（费）率","销售额×税（费）率")</f>
        <v>销售额×税（费）率</v>
      </c>
      <c r="F48" s="2630">
        <f>IF(H48="情况1","免征",'数据-取费表'!B41)</f>
        <v>0.056</v>
      </c>
      <c r="G48" s="2631" t="s">
        <v>846</v>
      </c>
      <c r="H48" s="2632"/>
      <c r="I48" s="2622"/>
      <c r="J48" s="650">
        <v>3</v>
      </c>
      <c r="K48" s="2681" t="s">
        <v>847</v>
      </c>
      <c r="L48" s="2681"/>
      <c r="M48" s="2684" t="e">
        <f ca="1">H101</f>
        <v>#REF!</v>
      </c>
      <c r="N48" s="2684"/>
      <c r="O48" s="2684"/>
    </row>
    <row r="49" ht="25.5" customHeight="1" spans="1:15">
      <c r="A49" s="2629" t="s">
        <v>848</v>
      </c>
      <c r="B49" s="2060" t="s">
        <v>849</v>
      </c>
      <c r="C49" s="2060"/>
      <c r="D49" s="2633">
        <v>0</v>
      </c>
      <c r="E49" s="2088" t="s">
        <v>850</v>
      </c>
      <c r="F49" s="2634" t="s">
        <v>124</v>
      </c>
      <c r="G49" s="2635"/>
      <c r="H49" s="2636" t="s">
        <v>851</v>
      </c>
      <c r="I49" s="2685"/>
      <c r="J49" s="650">
        <v>4</v>
      </c>
      <c r="K49" s="2681" t="str">
        <f>IF(项目基本情况!E8="房地产抵押价值","房地产抵押价值","抵押担保权已注销时的房地产抵押价值")</f>
        <v>抵押担保权已注销时的房地产抵押价值</v>
      </c>
      <c r="L49" s="2681"/>
      <c r="M49" s="2684" t="str">
        <f ca="1">IF(项目基本情况!E8="房地产抵押价值",H107,H109)</f>
        <v>——</v>
      </c>
      <c r="N49" s="2684"/>
      <c r="O49" s="2684"/>
    </row>
    <row r="50" ht="25.5" customHeight="1" spans="1:15">
      <c r="A50" s="2637"/>
      <c r="B50" s="2060" t="s">
        <v>852</v>
      </c>
      <c r="C50" s="2060"/>
      <c r="D50" s="2638"/>
      <c r="E50" s="2103"/>
      <c r="F50" s="2634"/>
      <c r="G50" s="2639"/>
      <c r="H50" s="2640" t="s">
        <v>853</v>
      </c>
      <c r="I50" s="2685"/>
      <c r="J50" s="2680" t="s">
        <v>854</v>
      </c>
      <c r="K50" s="2680"/>
      <c r="L50" s="2680"/>
      <c r="M50" s="2680"/>
      <c r="N50" s="2680"/>
      <c r="O50" s="2680"/>
    </row>
    <row r="51" ht="20.45" customHeight="1" spans="1:15">
      <c r="A51" s="2641"/>
      <c r="B51" s="2060" t="s">
        <v>855</v>
      </c>
      <c r="C51" s="2060"/>
      <c r="D51" s="2078"/>
      <c r="E51" s="2092"/>
      <c r="F51" s="2634"/>
      <c r="G51" s="2642"/>
      <c r="H51" s="2640" t="s">
        <v>856</v>
      </c>
      <c r="I51" s="2685"/>
      <c r="J51" s="2681" t="s">
        <v>857</v>
      </c>
      <c r="K51" s="2681" t="s">
        <v>858</v>
      </c>
      <c r="L51" s="2681"/>
      <c r="M51" s="2681" t="s">
        <v>859</v>
      </c>
      <c r="N51" s="2681" t="s">
        <v>860</v>
      </c>
      <c r="O51" s="2681" t="s">
        <v>861</v>
      </c>
    </row>
    <row r="52" ht="24" customHeight="1" spans="1:15">
      <c r="A52" s="2643" t="s">
        <v>862</v>
      </c>
      <c r="B52" s="2060" t="s">
        <v>863</v>
      </c>
      <c r="C52" s="2060"/>
      <c r="D52" s="2078" t="e">
        <f ca="1">ROUND(D45*'数据-取费表'!B41/(1+'数据-取费表'!C42),0)</f>
        <v>#REF!</v>
      </c>
      <c r="E52" s="2082" t="s">
        <v>864</v>
      </c>
      <c r="F52" s="2644">
        <f>'数据-取费表'!B41</f>
        <v>0.056</v>
      </c>
      <c r="G52" s="2645"/>
      <c r="H52" s="2197"/>
      <c r="I52" s="2686"/>
      <c r="J52" s="650">
        <v>1</v>
      </c>
      <c r="K52" s="650" t="s">
        <v>865</v>
      </c>
      <c r="L52" s="650"/>
      <c r="M52" s="2687" t="b">
        <f ca="1">D48</f>
        <v>0</v>
      </c>
      <c r="N52" s="650" t="str">
        <f>E48</f>
        <v>销售额×税（费）率</v>
      </c>
      <c r="O52" s="2688">
        <f>F48</f>
        <v>0.056</v>
      </c>
    </row>
    <row r="53" ht="12" customHeight="1" spans="1:15">
      <c r="A53" s="2643" t="s">
        <v>866</v>
      </c>
      <c r="B53" s="2059" t="s">
        <v>867</v>
      </c>
      <c r="C53" s="2646"/>
      <c r="D53" s="2078" t="e">
        <f ca="1">ROUND(D45*'数据-取费表'!B41/(1+'数据-取费表'!C42),0)</f>
        <v>#REF!</v>
      </c>
      <c r="E53" s="2082" t="s">
        <v>864</v>
      </c>
      <c r="F53" s="2644">
        <f>'数据-取费表'!B41</f>
        <v>0.056</v>
      </c>
      <c r="G53" s="2645"/>
      <c r="H53" s="2197"/>
      <c r="I53" s="2686"/>
      <c r="J53" s="650">
        <v>2</v>
      </c>
      <c r="K53" s="650" t="s">
        <v>868</v>
      </c>
      <c r="L53" s="650"/>
      <c r="M53" s="2687" t="e">
        <f ca="1" t="shared" ref="M53:O54" si="0">D55</f>
        <v>#REF!</v>
      </c>
      <c r="N53" s="650" t="str">
        <f t="shared" si="0"/>
        <v>销售额×税（费）率</v>
      </c>
      <c r="O53" s="2688" t="str">
        <f t="shared" si="0"/>
        <v>免征</v>
      </c>
    </row>
    <row r="54" ht="12" customHeight="1" spans="1:15">
      <c r="A54" s="2643" t="s">
        <v>869</v>
      </c>
      <c r="B54" s="2059" t="s">
        <v>870</v>
      </c>
      <c r="C54" s="2646"/>
      <c r="D54" s="2078" t="e">
        <f ca="1">C68</f>
        <v>#REF!</v>
      </c>
      <c r="E54" s="2092" t="s">
        <v>871</v>
      </c>
      <c r="F54" s="2644">
        <f>'数据-取费表'!B41</f>
        <v>0.056</v>
      </c>
      <c r="G54" s="2645"/>
      <c r="H54" s="2647"/>
      <c r="I54" s="2686"/>
      <c r="J54" s="650">
        <v>3</v>
      </c>
      <c r="K54" s="650" t="s">
        <v>872</v>
      </c>
      <c r="L54" s="650"/>
      <c r="M54" s="2687" t="e">
        <f ca="1" t="shared" si="0"/>
        <v>#REF!</v>
      </c>
      <c r="N54" s="650" t="str">
        <f t="shared" si="0"/>
        <v>增值额×税（费）率</v>
      </c>
      <c r="O54" s="2689" t="str">
        <f t="shared" si="0"/>
        <v>免征</v>
      </c>
    </row>
    <row r="55" ht="24" customHeight="1" spans="1:15">
      <c r="A55" s="2643" t="s">
        <v>873</v>
      </c>
      <c r="B55" s="2082"/>
      <c r="C55" s="2082"/>
      <c r="D55" s="2182" t="e">
        <f ca="1">IF(H55="个人住宅",0,ROUND(D45*I55,0))</f>
        <v>#REF!</v>
      </c>
      <c r="E55" s="2082" t="s">
        <v>874</v>
      </c>
      <c r="F55" s="2644" t="str">
        <f>IF(H55="正常",I55,"免征")</f>
        <v>免征</v>
      </c>
      <c r="G55" s="2645"/>
      <c r="H55" s="2632"/>
      <c r="I55" s="2690">
        <f>'数据-取费表'!B49</f>
        <v>0.0005</v>
      </c>
      <c r="J55" s="650">
        <f>IF(H59="非个人房产","",4)</f>
        <v>4</v>
      </c>
      <c r="K55" s="650" t="str">
        <f>IF(H59="非个人房产","——","个人所得税")</f>
        <v>个人所得税</v>
      </c>
      <c r="L55" s="650"/>
      <c r="M55" s="2691" t="e">
        <f ca="1">D59</f>
        <v>#REF!</v>
      </c>
      <c r="N55" s="631" t="str">
        <f>E59</f>
        <v>差额计税</v>
      </c>
      <c r="O55" s="2692">
        <f>F59</f>
        <v>0.01</v>
      </c>
    </row>
    <row r="56" ht="24.75" spans="1:15">
      <c r="A56" s="2643" t="s">
        <v>875</v>
      </c>
      <c r="B56" s="2082"/>
      <c r="C56" s="2082"/>
      <c r="D56" s="2182" t="e">
        <f ca="1">IF(H56="个人住宅",D57,D58)</f>
        <v>#REF!</v>
      </c>
      <c r="E56" s="2082" t="s">
        <v>876</v>
      </c>
      <c r="F56" s="2644" t="str">
        <f>IF(H56="正常",F58,"免征")</f>
        <v>免征</v>
      </c>
      <c r="G56" s="2648" t="s">
        <v>877</v>
      </c>
      <c r="H56" s="2649"/>
      <c r="I56" s="2660"/>
      <c r="J56" s="650" t="str">
        <f>IF(项目基本情况!K6="上海银行",IF(J55="",4,J55+1),"")</f>
        <v/>
      </c>
      <c r="K56" s="2182" t="str">
        <f>IF(项目基本情况!K6="上海银行","其他处置费用","")</f>
        <v/>
      </c>
      <c r="L56" s="2438"/>
      <c r="M56" s="2687" t="str">
        <f ca="1">IF(项目基本情况!K6="上海银行",M69,"")</f>
        <v/>
      </c>
      <c r="N56" s="2182" t="str">
        <f>IF(项目基本情况!K6="上海银行","包含处置中涉及的律师、诉讼、拍卖、评估等费用","")</f>
        <v/>
      </c>
      <c r="O56" s="2032"/>
    </row>
    <row r="57" ht="13.5" spans="1:16">
      <c r="A57" s="2643" t="s">
        <v>848</v>
      </c>
      <c r="B57" s="2059" t="s">
        <v>878</v>
      </c>
      <c r="C57" s="2646"/>
      <c r="D57" s="2633">
        <v>0</v>
      </c>
      <c r="E57" s="2088" t="s">
        <v>850</v>
      </c>
      <c r="F57" s="2026"/>
      <c r="G57" s="2645"/>
      <c r="H57" s="2650"/>
      <c r="I57" s="2660"/>
      <c r="J57" s="650">
        <f>IF(AND(J55="",J56=""),4,IF(项目基本情况!K6="上海银行",结果表!J56+1,结果表!J55+1))</f>
        <v>5</v>
      </c>
      <c r="K57" s="650" t="s">
        <v>879</v>
      </c>
      <c r="L57" s="2693" t="s">
        <v>880</v>
      </c>
      <c r="M57" s="2694"/>
      <c r="N57" s="2695">
        <f ca="1">SUMIF(M52:M56,"&lt;9e307")</f>
        <v>0</v>
      </c>
      <c r="O57" s="2696"/>
      <c r="P57" s="2697" t="e">
        <f ca="1">N57/M49</f>
        <v>#VALUE!</v>
      </c>
    </row>
    <row r="58" ht="24.75" spans="1:15">
      <c r="A58" s="2643" t="s">
        <v>862</v>
      </c>
      <c r="B58" s="2059" t="s">
        <v>881</v>
      </c>
      <c r="C58" s="2060"/>
      <c r="D58" s="2182" t="e">
        <f ca="1">IF(H58="转让取得",C81,C97)</f>
        <v>#REF!</v>
      </c>
      <c r="E58" s="2082" t="s">
        <v>876</v>
      </c>
      <c r="F58" s="2026" t="s">
        <v>124</v>
      </c>
      <c r="G58" s="2645"/>
      <c r="H58" s="2649"/>
      <c r="I58" s="2660"/>
      <c r="J58" s="650"/>
      <c r="K58" s="650"/>
      <c r="L58" s="2693" t="s">
        <v>882</v>
      </c>
      <c r="M58" s="2698"/>
      <c r="N58" s="2699" t="str">
        <f ca="1">NUMBERSTRING(INT(N57*10000),2)&amp;"元整"</f>
        <v>零元整</v>
      </c>
      <c r="O58" s="2700"/>
    </row>
    <row r="59" ht="24.75" spans="1:15">
      <c r="A59" s="2651" t="s">
        <v>883</v>
      </c>
      <c r="B59" s="2652"/>
      <c r="C59" s="2652"/>
      <c r="D59" s="2653" t="e">
        <f ca="1">IF(H59="非个人房产","——",IF(H59="个人住宅（满五唯一有凭证）",0,IF(H59="个人其他（无凭证）",ROUND(D45*F59,0),ROUND(C67*F59,0))))</f>
        <v>#REF!</v>
      </c>
      <c r="E59" s="2654" t="str">
        <f>IF(H59="非个人房产","——",IF(H59="个人其他（无凭证）","销售额×税（费）率",IF(H59="个人住宅（满五唯一有凭证）","免征","差额计税")))</f>
        <v>差额计税</v>
      </c>
      <c r="F59" s="2655">
        <f>IF(OR(H59="非个人房产",H59="个人住宅（满五唯一有凭证）"),"——",IF(H59="个人其他（有凭证）",20%,1%))</f>
        <v>0.01</v>
      </c>
      <c r="G59" s="2656" t="s">
        <v>877</v>
      </c>
      <c r="H59" s="2657"/>
      <c r="I59" s="2701" t="s">
        <v>884</v>
      </c>
      <c r="J59" s="631">
        <f>J57+1</f>
        <v>6</v>
      </c>
      <c r="K59" s="650" t="s">
        <v>885</v>
      </c>
      <c r="L59" s="650" t="s">
        <v>880</v>
      </c>
      <c r="M59" s="2702"/>
      <c r="N59" s="2703" t="e">
        <f ca="1">M49-N57</f>
        <v>#VALUE!</v>
      </c>
      <c r="O59" s="2704"/>
    </row>
    <row r="60" ht="12" customHeight="1" spans="1:15">
      <c r="A60" s="2658"/>
      <c r="B60" s="2508"/>
      <c r="C60" s="2508"/>
      <c r="D60" s="2508"/>
      <c r="E60" s="2659"/>
      <c r="F60" s="2660"/>
      <c r="G60" s="2660"/>
      <c r="H60" s="2661"/>
      <c r="I60" s="1037"/>
      <c r="J60" s="636"/>
      <c r="K60" s="650"/>
      <c r="L60" s="2693" t="s">
        <v>882</v>
      </c>
      <c r="M60" s="2698"/>
      <c r="N60" s="2699" t="e">
        <f ca="1">NUMBERSTRING(INT(N59*10000),2)&amp;"元整"</f>
        <v>#VALUE!</v>
      </c>
      <c r="O60" s="2700"/>
    </row>
    <row r="61" ht="14.25" spans="1:15">
      <c r="A61" s="2662" t="s">
        <v>886</v>
      </c>
      <c r="B61" s="2662"/>
      <c r="C61" s="2662"/>
      <c r="D61" s="2662"/>
      <c r="E61" s="2662"/>
      <c r="F61" s="2660"/>
      <c r="G61" s="2660"/>
      <c r="H61" s="2661"/>
      <c r="I61" s="1037"/>
      <c r="J61" s="650">
        <f>J59+1</f>
        <v>7</v>
      </c>
      <c r="K61" s="650" t="s">
        <v>887</v>
      </c>
      <c r="L61" s="650"/>
      <c r="M61" s="2705"/>
      <c r="N61" s="2706" t="e">
        <f ca="1">ROUND(N59*10000/'数据-汇总表'!E3,0)</f>
        <v>#VALUE!</v>
      </c>
      <c r="O61" s="2707"/>
    </row>
    <row r="62" ht="13.5" spans="1:9">
      <c r="A62" s="2663" t="s">
        <v>888</v>
      </c>
      <c r="B62" s="601"/>
      <c r="C62" s="601"/>
      <c r="D62" s="601" t="s">
        <v>889</v>
      </c>
      <c r="E62" s="2664" t="s">
        <v>843</v>
      </c>
      <c r="F62" s="2660"/>
      <c r="G62" s="2660"/>
      <c r="H62" s="2661"/>
      <c r="I62" s="1037"/>
    </row>
    <row r="63" ht="13.5" spans="1:35">
      <c r="A63" s="2665" t="s">
        <v>890</v>
      </c>
      <c r="B63" s="661" t="s">
        <v>891</v>
      </c>
      <c r="C63" s="2666" t="e">
        <f ca="1">ROUND((C64+C65)/(1+'数据-取费表'!C42),0)</f>
        <v>#REF!</v>
      </c>
      <c r="D63" s="661"/>
      <c r="E63" s="2667"/>
      <c r="F63" s="2660"/>
      <c r="G63" s="2660"/>
      <c r="H63" s="2661"/>
      <c r="I63" s="1037"/>
      <c r="J63" s="2708" t="s">
        <v>892</v>
      </c>
      <c r="K63" s="2708" t="s">
        <v>893</v>
      </c>
      <c r="L63" s="2708" t="e">
        <f ca="1">IF(M49&gt;10000,M49*0.5%,IF(AND(M49&gt;1000,M49&lt;=10000),M49*1%,IF(AND(M49&gt;100,M49&lt;=1000),M49*3%,IF(AND(M49&gt;10,M49&lt;=100),M49*5%,M49*8%))))</f>
        <v>#VALUE!</v>
      </c>
      <c r="M63" s="2026" t="e">
        <f ca="1">ROUND(L63,1)</f>
        <v>#VALUE!</v>
      </c>
      <c r="N63" s="2709"/>
      <c r="Z63" s="2505"/>
      <c r="AI63" s="2506"/>
    </row>
    <row r="64" ht="14.25" customHeight="1" spans="1:35">
      <c r="A64" s="2668" t="s">
        <v>894</v>
      </c>
      <c r="B64" s="584" t="s">
        <v>895</v>
      </c>
      <c r="C64" s="2669" t="e">
        <f ca="1">D45</f>
        <v>#REF!</v>
      </c>
      <c r="D64" s="584" t="s">
        <v>124</v>
      </c>
      <c r="E64" s="2670"/>
      <c r="F64" s="2660"/>
      <c r="G64" s="2660"/>
      <c r="H64" s="2661"/>
      <c r="I64" s="1037"/>
      <c r="J64" s="2708"/>
      <c r="K64" s="2708" t="s">
        <v>896</v>
      </c>
      <c r="L64" s="2708" t="e">
        <f ca="1">IF(M49&gt;2000,M49*0.5%,IF(AND(M49&gt;1000,M49&lt;=2000),M49*0.6%,IF(AND(M49&gt;500,M49&lt;=1000),M49*0.7%,IF(AND(M49&gt;200,M49&lt;=500),M49*0.8%,IF(AND(M49&gt;100,M49&lt;=200),M49*0.9%,IF(AND(M49&gt;50,M49&lt;=100),M49*1%,IF(AND(M49&gt;20,M49&lt;=50),M49*1.5%,IF(AND(M49&gt;10,M49&lt;=20),M49*2%,IF(AND(M49&gt;1,M49&lt;=10),M49*2.5%)))))))))</f>
        <v>#VALUE!</v>
      </c>
      <c r="M64" s="2026" t="e">
        <f ca="1" t="shared" ref="M64:M65" si="1">ROUND(L64,1)</f>
        <v>#VALUE!</v>
      </c>
      <c r="N64" s="2197" t="s">
        <v>897</v>
      </c>
      <c r="Z64" s="2505"/>
      <c r="AI64" s="2506"/>
    </row>
    <row r="65" ht="14.25" customHeight="1" spans="1:35">
      <c r="A65" s="2668" t="s">
        <v>898</v>
      </c>
      <c r="B65" s="584" t="s">
        <v>899</v>
      </c>
      <c r="C65" s="2711"/>
      <c r="D65" s="584"/>
      <c r="E65" s="2670"/>
      <c r="F65" s="2660"/>
      <c r="G65" s="2660"/>
      <c r="H65" s="2661"/>
      <c r="I65" s="1037"/>
      <c r="J65" s="2708"/>
      <c r="K65" s="2708" t="s">
        <v>900</v>
      </c>
      <c r="L65" s="2708" t="e">
        <f ca="1">IF(M49&gt;1000,M49*0.1%,IF(AND(M49&gt;500,M49&lt;=1000),M49*0.5%,IF(AND(M49&gt;50,M49&lt;=500),M49*1%,IF(AND(M49&gt;1,M49&lt;=50),M49*1.5%))))</f>
        <v>#VALUE!</v>
      </c>
      <c r="M65" s="2026" t="e">
        <f ca="1" t="shared" si="1"/>
        <v>#VALUE!</v>
      </c>
      <c r="N65" s="2197" t="s">
        <v>897</v>
      </c>
      <c r="Z65" s="2505"/>
      <c r="AI65" s="2506"/>
    </row>
    <row r="66" ht="14.25" customHeight="1" spans="1:35">
      <c r="A66" s="2665" t="s">
        <v>901</v>
      </c>
      <c r="B66" s="2712" t="s">
        <v>902</v>
      </c>
      <c r="C66" s="2713"/>
      <c r="D66" s="2712" t="s">
        <v>124</v>
      </c>
      <c r="E66" s="2714" t="s">
        <v>903</v>
      </c>
      <c r="F66" s="2660"/>
      <c r="G66" s="2660"/>
      <c r="H66" s="2661"/>
      <c r="I66" s="1037"/>
      <c r="J66" s="2708"/>
      <c r="K66" s="2708" t="s">
        <v>904</v>
      </c>
      <c r="L66" s="2708" t="e">
        <f ca="1">M49*0.5%</f>
        <v>#VALUE!</v>
      </c>
      <c r="M66" s="2026" t="e">
        <f ca="1">IF(L66&gt;0.5,0.5,ROUND(L66,0))</f>
        <v>#VALUE!</v>
      </c>
      <c r="N66" s="2197" t="s">
        <v>905</v>
      </c>
      <c r="Z66" s="2505"/>
      <c r="AI66" s="2506"/>
    </row>
    <row r="67" ht="14.25" customHeight="1" spans="1:35">
      <c r="A67" s="2665" t="s">
        <v>906</v>
      </c>
      <c r="B67" s="2712" t="s">
        <v>907</v>
      </c>
      <c r="C67" s="2715" t="e">
        <f ca="1">C63-C66</f>
        <v>#REF!</v>
      </c>
      <c r="D67" s="584" t="s">
        <v>124</v>
      </c>
      <c r="E67" s="2670"/>
      <c r="F67" s="2660"/>
      <c r="G67" s="2660"/>
      <c r="H67" s="2661"/>
      <c r="I67" s="1037"/>
      <c r="J67" s="2708"/>
      <c r="K67" s="2708" t="s">
        <v>908</v>
      </c>
      <c r="L67" s="2708" t="e">
        <f ca="1">IF(M49&gt;=10000,(8.25+(M49-10000)*0.01%),IF(AND(M49&gt;=8000,M49&lt;10000),(7.85+(M49-8000)*0.02%),IF(AND(M49&gt;=5000,M49&lt;8000),(6.65+(M49-5000)*0.04%),IF(AND(M49&gt;=2000,M49&lt;5000),(4.25+(PM49-2000)*0.08%),IF(AND(M49&gt;=1000,M49&lt;2000),(2.75+(M49-1000)*0.15%),IF(AND(M49&gt;=100,M49&lt;1000),(0.5+(M49-100)*0.25%),IF(AND(M49&gt;0,M49&lt;100),M49*0.5%)))))))</f>
        <v>#VALUE!</v>
      </c>
      <c r="M67" s="2026" t="e">
        <f ca="1">ROUND(L67*0.9,1)</f>
        <v>#VALUE!</v>
      </c>
      <c r="N67" s="2709"/>
      <c r="Z67" s="2505"/>
      <c r="AI67" s="2506"/>
    </row>
    <row r="68" ht="14.25" customHeight="1" spans="1:35">
      <c r="A68" s="2716" t="s">
        <v>909</v>
      </c>
      <c r="B68" s="2717" t="s">
        <v>910</v>
      </c>
      <c r="C68" s="2718" t="e">
        <f ca="1">IF(C67&lt;=0,0,ROUND(C67*D68,0))</f>
        <v>#REF!</v>
      </c>
      <c r="D68" s="859">
        <f>'数据-取费表'!B41</f>
        <v>0.056</v>
      </c>
      <c r="E68" s="2719"/>
      <c r="F68" s="2660"/>
      <c r="G68" s="2660"/>
      <c r="H68" s="2661"/>
      <c r="I68" s="1037"/>
      <c r="J68" s="2708"/>
      <c r="K68" s="2708" t="s">
        <v>911</v>
      </c>
      <c r="L68" s="2708" t="e">
        <f ca="1">IF(M49&gt;10000,M49*0.5%,IF(AND(M49&gt;5000,M49&lt;=10000),M49*1%,IF(AND(M49&gt;1000,M49&lt;=5000),M49*2%,IF(AND(M49&gt;200,M49&lt;=1000),M49*3%,M49*5%))))</f>
        <v>#VALUE!</v>
      </c>
      <c r="M68" s="2026" t="e">
        <f ca="1">ROUND(L68,1)</f>
        <v>#VALUE!</v>
      </c>
      <c r="N68" s="2709"/>
      <c r="Z68" s="2505"/>
      <c r="AI68" s="2506"/>
    </row>
    <row r="69" s="2503" customFormat="1" ht="16.5" customHeight="1" spans="1:34">
      <c r="A69" s="2720"/>
      <c r="B69" s="2721"/>
      <c r="C69" s="2722"/>
      <c r="D69" s="775"/>
      <c r="E69" s="2723"/>
      <c r="F69" s="2659"/>
      <c r="G69" s="2659"/>
      <c r="H69" s="2607"/>
      <c r="I69" s="2508"/>
      <c r="J69" s="2708"/>
      <c r="K69" s="2708" t="s">
        <v>912</v>
      </c>
      <c r="L69" s="2708"/>
      <c r="M69" s="2026" t="e">
        <f ca="1">ROUND(SUM(M63:M68),0)</f>
        <v>#VALUE!</v>
      </c>
      <c r="N69" s="2821" t="e">
        <f ca="1">M69/M49</f>
        <v>#VALUE!</v>
      </c>
      <c r="O69" s="993"/>
      <c r="P69" s="993"/>
      <c r="Q69" s="993"/>
      <c r="R69" s="993"/>
      <c r="S69" s="993"/>
      <c r="T69" s="993"/>
      <c r="U69" s="993"/>
      <c r="V69" s="993"/>
      <c r="W69" s="993"/>
      <c r="X69" s="993"/>
      <c r="Y69" s="993"/>
      <c r="Z69" s="2505"/>
      <c r="AA69" s="2505"/>
      <c r="AB69" s="2505"/>
      <c r="AC69" s="2505"/>
      <c r="AD69" s="2505"/>
      <c r="AE69" s="2505"/>
      <c r="AF69" s="2505"/>
      <c r="AG69" s="2505"/>
      <c r="AH69" s="2505"/>
    </row>
    <row r="70" s="2504" customFormat="1" ht="15" spans="1:35">
      <c r="A70" s="2724" t="s">
        <v>913</v>
      </c>
      <c r="B70" s="2725"/>
      <c r="C70" s="2725"/>
      <c r="D70" s="2725"/>
      <c r="E70" s="2725"/>
      <c r="F70" s="2725"/>
      <c r="G70" s="2725"/>
      <c r="H70" s="2725"/>
      <c r="I70" s="2822"/>
      <c r="J70" s="2823"/>
      <c r="K70" s="2823"/>
      <c r="L70" s="2823"/>
      <c r="M70" s="2823"/>
      <c r="N70" s="2824"/>
      <c r="O70" s="2824"/>
      <c r="P70" s="2824"/>
      <c r="Q70" s="2824"/>
      <c r="R70" s="2824"/>
      <c r="S70" s="2824"/>
      <c r="T70" s="2824"/>
      <c r="U70" s="2824"/>
      <c r="V70" s="2824"/>
      <c r="W70" s="2824"/>
      <c r="X70" s="2824"/>
      <c r="Y70" s="2824"/>
      <c r="Z70" s="2824"/>
      <c r="AA70" s="2831"/>
      <c r="AB70" s="2831"/>
      <c r="AC70" s="2831"/>
      <c r="AD70" s="2831"/>
      <c r="AE70" s="2831"/>
      <c r="AF70" s="2831"/>
      <c r="AG70" s="2831"/>
      <c r="AH70" s="2831"/>
      <c r="AI70" s="2831"/>
    </row>
    <row r="71" s="2504" customFormat="1" ht="14.25" spans="1:35">
      <c r="A71" s="2663" t="s">
        <v>888</v>
      </c>
      <c r="B71" s="601"/>
      <c r="C71" s="601"/>
      <c r="D71" s="601" t="s">
        <v>889</v>
      </c>
      <c r="E71" s="2726" t="s">
        <v>843</v>
      </c>
      <c r="F71" s="2727"/>
      <c r="G71" s="2727"/>
      <c r="H71" s="2728"/>
      <c r="I71" s="2825"/>
      <c r="J71" s="2823"/>
      <c r="K71" s="2823"/>
      <c r="L71" s="2823"/>
      <c r="M71" s="2823"/>
      <c r="N71" s="2824"/>
      <c r="O71" s="2824"/>
      <c r="P71" s="2824"/>
      <c r="Q71" s="2824"/>
      <c r="R71" s="2824"/>
      <c r="S71" s="2824"/>
      <c r="T71" s="2824"/>
      <c r="U71" s="2824"/>
      <c r="V71" s="2824"/>
      <c r="W71" s="2824"/>
      <c r="X71" s="2824"/>
      <c r="Y71" s="2824"/>
      <c r="Z71" s="2824"/>
      <c r="AA71" s="2831"/>
      <c r="AB71" s="2831"/>
      <c r="AC71" s="2831"/>
      <c r="AD71" s="2831"/>
      <c r="AE71" s="2831"/>
      <c r="AF71" s="2831"/>
      <c r="AG71" s="2831"/>
      <c r="AH71" s="2831"/>
      <c r="AI71" s="2831"/>
    </row>
    <row r="72" s="2504" customFormat="1" ht="14.25" spans="1:35">
      <c r="A72" s="2665" t="s">
        <v>890</v>
      </c>
      <c r="B72" s="2712" t="s">
        <v>914</v>
      </c>
      <c r="C72" s="2715" t="e">
        <f ca="1">ROUND(D45/(1+'数据-取费表'!C42),0)</f>
        <v>#REF!</v>
      </c>
      <c r="D72" s="584" t="s">
        <v>124</v>
      </c>
      <c r="E72" s="2059"/>
      <c r="F72" s="2060"/>
      <c r="G72" s="2060"/>
      <c r="H72" s="2729"/>
      <c r="I72" s="2825"/>
      <c r="J72" s="2823"/>
      <c r="K72" s="2823"/>
      <c r="L72" s="2823"/>
      <c r="M72" s="2823"/>
      <c r="N72" s="2824"/>
      <c r="O72" s="2824"/>
      <c r="P72" s="2824"/>
      <c r="Q72" s="2824"/>
      <c r="R72" s="2824"/>
      <c r="S72" s="2824"/>
      <c r="T72" s="2824"/>
      <c r="U72" s="2824"/>
      <c r="V72" s="2824"/>
      <c r="W72" s="2824"/>
      <c r="X72" s="2824"/>
      <c r="Y72" s="2824"/>
      <c r="Z72" s="2824"/>
      <c r="AA72" s="2831"/>
      <c r="AB72" s="2831"/>
      <c r="AC72" s="2831"/>
      <c r="AD72" s="2831"/>
      <c r="AE72" s="2831"/>
      <c r="AF72" s="2831"/>
      <c r="AG72" s="2831"/>
      <c r="AH72" s="2831"/>
      <c r="AI72" s="2831"/>
    </row>
    <row r="73" s="2504" customFormat="1" ht="14.25" spans="1:35">
      <c r="A73" s="2665" t="s">
        <v>901</v>
      </c>
      <c r="B73" s="2626" t="s">
        <v>915</v>
      </c>
      <c r="C73" s="2715" t="e">
        <f ca="1">C74+C78</f>
        <v>#REF!</v>
      </c>
      <c r="D73" s="584" t="s">
        <v>124</v>
      </c>
      <c r="E73" s="2059"/>
      <c r="F73" s="2060"/>
      <c r="G73" s="2060"/>
      <c r="H73" s="2729"/>
      <c r="I73" s="2825"/>
      <c r="J73" s="2824"/>
      <c r="K73" s="2824"/>
      <c r="L73" s="2824"/>
      <c r="M73" s="2824"/>
      <c r="N73" s="2824"/>
      <c r="O73" s="2824"/>
      <c r="P73" s="2824"/>
      <c r="Q73" s="2824"/>
      <c r="R73" s="2824"/>
      <c r="S73" s="2824"/>
      <c r="T73" s="2824"/>
      <c r="U73" s="2824"/>
      <c r="V73" s="2824"/>
      <c r="W73" s="2824"/>
      <c r="X73" s="2824"/>
      <c r="Y73" s="2824"/>
      <c r="Z73" s="2824"/>
      <c r="AA73" s="2831"/>
      <c r="AB73" s="2831"/>
      <c r="AC73" s="2831"/>
      <c r="AD73" s="2831"/>
      <c r="AE73" s="2831"/>
      <c r="AF73" s="2831"/>
      <c r="AG73" s="2831"/>
      <c r="AH73" s="2831"/>
      <c r="AI73" s="2831"/>
    </row>
    <row r="74" s="2504" customFormat="1" ht="24" spans="1:35">
      <c r="A74" s="2668" t="s">
        <v>894</v>
      </c>
      <c r="B74" s="584" t="s">
        <v>916</v>
      </c>
      <c r="C74" s="584">
        <f>ROUND(IF(G77="2016年5月1日后购买",C75/(1+'数据-取费表'!C42)+C76+C77,C75+C76+C77),0)</f>
        <v>0</v>
      </c>
      <c r="D74" s="584" t="s">
        <v>124</v>
      </c>
      <c r="E74" s="2059"/>
      <c r="F74" s="2060"/>
      <c r="G74" s="2060"/>
      <c r="H74" s="2729"/>
      <c r="I74" s="2825"/>
      <c r="J74" s="2824"/>
      <c r="K74" s="2824"/>
      <c r="L74" s="2824"/>
      <c r="M74" s="2824"/>
      <c r="N74" s="2824"/>
      <c r="O74" s="2824"/>
      <c r="P74" s="2824"/>
      <c r="Q74" s="2824"/>
      <c r="R74" s="2824"/>
      <c r="S74" s="2824"/>
      <c r="T74" s="2824"/>
      <c r="U74" s="2824"/>
      <c r="V74" s="2824"/>
      <c r="W74" s="2824"/>
      <c r="X74" s="2824"/>
      <c r="Y74" s="2824"/>
      <c r="Z74" s="2824"/>
      <c r="AA74" s="2831"/>
      <c r="AB74" s="2831"/>
      <c r="AC74" s="2831"/>
      <c r="AD74" s="2831"/>
      <c r="AE74" s="2831"/>
      <c r="AF74" s="2831"/>
      <c r="AG74" s="2831"/>
      <c r="AH74" s="2831"/>
      <c r="AI74" s="2831"/>
    </row>
    <row r="75" s="2504" customFormat="1" ht="14.25" spans="1:35">
      <c r="A75" s="2668" t="s">
        <v>917</v>
      </c>
      <c r="B75" s="584" t="s">
        <v>918</v>
      </c>
      <c r="C75" s="2730"/>
      <c r="D75" s="584" t="s">
        <v>124</v>
      </c>
      <c r="E75" s="2731" t="s">
        <v>919</v>
      </c>
      <c r="F75" s="2732"/>
      <c r="G75" s="2731" t="s">
        <v>920</v>
      </c>
      <c r="H75" s="2733"/>
      <c r="I75" s="878"/>
      <c r="J75" s="2824"/>
      <c r="K75" s="2824"/>
      <c r="L75" s="2824"/>
      <c r="M75" s="2824"/>
      <c r="N75" s="2824"/>
      <c r="O75" s="2824"/>
      <c r="P75" s="2824"/>
      <c r="Q75" s="2824"/>
      <c r="R75" s="2824"/>
      <c r="S75" s="2824"/>
      <c r="T75" s="2824"/>
      <c r="U75" s="2824"/>
      <c r="V75" s="2824"/>
      <c r="W75" s="2824"/>
      <c r="X75" s="2824"/>
      <c r="Y75" s="2824"/>
      <c r="Z75" s="2824"/>
      <c r="AA75" s="2831"/>
      <c r="AB75" s="2831"/>
      <c r="AC75" s="2831"/>
      <c r="AD75" s="2831"/>
      <c r="AE75" s="2831"/>
      <c r="AF75" s="2831"/>
      <c r="AG75" s="2831"/>
      <c r="AH75" s="2831"/>
      <c r="AI75" s="2831"/>
    </row>
    <row r="76" s="2504" customFormat="1" ht="24.75" customHeight="1" spans="1:35">
      <c r="A76" s="2668" t="s">
        <v>921</v>
      </c>
      <c r="B76" s="2734" t="s">
        <v>922</v>
      </c>
      <c r="C76" s="584">
        <f>IF(F75="购房发票",ROUND(C75*H75*D76,0),0)</f>
        <v>0</v>
      </c>
      <c r="D76" s="2735">
        <v>0.05</v>
      </c>
      <c r="E76" s="2059" t="s">
        <v>923</v>
      </c>
      <c r="F76" s="2060"/>
      <c r="G76" s="2060"/>
      <c r="H76" s="2736"/>
      <c r="I76" s="2825"/>
      <c r="J76" s="2824"/>
      <c r="K76" s="2824"/>
      <c r="L76" s="2824"/>
      <c r="M76" s="2824"/>
      <c r="N76" s="2824"/>
      <c r="O76" s="2824"/>
      <c r="P76" s="2824"/>
      <c r="Q76" s="2824"/>
      <c r="R76" s="2824"/>
      <c r="S76" s="2824"/>
      <c r="T76" s="2824"/>
      <c r="U76" s="2824"/>
      <c r="V76" s="2824"/>
      <c r="W76" s="2824"/>
      <c r="X76" s="2824"/>
      <c r="Y76" s="2824"/>
      <c r="Z76" s="2824"/>
      <c r="AA76" s="2831"/>
      <c r="AB76" s="2831"/>
      <c r="AC76" s="2831"/>
      <c r="AD76" s="2831"/>
      <c r="AE76" s="2831"/>
      <c r="AF76" s="2831"/>
      <c r="AG76" s="2831"/>
      <c r="AH76" s="2831"/>
      <c r="AI76" s="2831"/>
    </row>
    <row r="77" s="2504" customFormat="1" ht="24.75" customHeight="1" spans="1:35">
      <c r="A77" s="2668" t="s">
        <v>924</v>
      </c>
      <c r="B77" s="584" t="s">
        <v>925</v>
      </c>
      <c r="C77" s="584">
        <f>ROUND(IF(G77="个人住宅",0,IF(G77="2016年5月1日前购买",C75*D77,C75*D77/(1+'数据-取费表'!C42))),0)</f>
        <v>0</v>
      </c>
      <c r="D77" s="2737">
        <f>'数据-取费表'!B48+'数据-取费表'!B49</f>
        <v>0.0305</v>
      </c>
      <c r="E77" s="2182" t="s">
        <v>926</v>
      </c>
      <c r="F77" s="2738"/>
      <c r="G77" s="2739"/>
      <c r="H77" s="2736" t="str">
        <f>IF(G77="个人买卖住房","免征印花税"," ")</f>
        <v/>
      </c>
      <c r="I77" s="2825"/>
      <c r="J77" s="2824"/>
      <c r="K77" s="2824"/>
      <c r="L77" s="2824"/>
      <c r="M77" s="2824"/>
      <c r="N77" s="2824"/>
      <c r="O77" s="2824"/>
      <c r="P77" s="2824"/>
      <c r="Q77" s="2824"/>
      <c r="R77" s="2824"/>
      <c r="S77" s="2824"/>
      <c r="T77" s="2824"/>
      <c r="U77" s="2824"/>
      <c r="V77" s="2824"/>
      <c r="W77" s="2824"/>
      <c r="X77" s="2824"/>
      <c r="Y77" s="2824"/>
      <c r="Z77" s="2824"/>
      <c r="AA77" s="2831"/>
      <c r="AB77" s="2831"/>
      <c r="AC77" s="2831"/>
      <c r="AD77" s="2831"/>
      <c r="AE77" s="2831"/>
      <c r="AF77" s="2831"/>
      <c r="AG77" s="2831"/>
      <c r="AH77" s="2831"/>
      <c r="AI77" s="2831"/>
    </row>
    <row r="78" s="2504" customFormat="1" ht="24.75" customHeight="1" spans="1:35">
      <c r="A78" s="2668" t="s">
        <v>898</v>
      </c>
      <c r="B78" s="584" t="s">
        <v>927</v>
      </c>
      <c r="C78" s="2740" t="e">
        <f ca="1">ROUND(D45*D78/(1+'数据-取费表'!C42),0)</f>
        <v>#REF!</v>
      </c>
      <c r="D78" s="2741">
        <f>'数据-取费表'!B43</f>
        <v>0.006</v>
      </c>
      <c r="E78" s="2742" t="s">
        <v>928</v>
      </c>
      <c r="F78" s="2743"/>
      <c r="G78" s="2743"/>
      <c r="H78" s="2744"/>
      <c r="I78" s="2826"/>
      <c r="J78" s="2824"/>
      <c r="K78" s="2824"/>
      <c r="L78" s="2824"/>
      <c r="M78" s="2824"/>
      <c r="N78" s="2824"/>
      <c r="O78" s="2824"/>
      <c r="P78" s="2824"/>
      <c r="Q78" s="2824"/>
      <c r="R78" s="2824"/>
      <c r="S78" s="2824"/>
      <c r="T78" s="2824"/>
      <c r="U78" s="2824"/>
      <c r="V78" s="2824"/>
      <c r="W78" s="2824"/>
      <c r="X78" s="2824"/>
      <c r="Y78" s="2824"/>
      <c r="Z78" s="2824"/>
      <c r="AA78" s="2831"/>
      <c r="AB78" s="2831"/>
      <c r="AC78" s="2831"/>
      <c r="AD78" s="2831"/>
      <c r="AE78" s="2831"/>
      <c r="AF78" s="2831"/>
      <c r="AG78" s="2831"/>
      <c r="AH78" s="2831"/>
      <c r="AI78" s="2831"/>
    </row>
    <row r="79" s="2504" customFormat="1" ht="14.25" spans="1:35">
      <c r="A79" s="2665" t="s">
        <v>906</v>
      </c>
      <c r="B79" s="2712" t="s">
        <v>929</v>
      </c>
      <c r="C79" s="2715" t="e">
        <f ca="1">C72-C73</f>
        <v>#REF!</v>
      </c>
      <c r="D79" s="584" t="s">
        <v>124</v>
      </c>
      <c r="E79" s="2059"/>
      <c r="F79" s="2060"/>
      <c r="G79" s="2060"/>
      <c r="H79" s="2729"/>
      <c r="I79" s="2825"/>
      <c r="J79" s="2824"/>
      <c r="K79" s="2824"/>
      <c r="L79" s="2824"/>
      <c r="M79" s="2824"/>
      <c r="N79" s="2824"/>
      <c r="O79" s="2824"/>
      <c r="P79" s="2824"/>
      <c r="Q79" s="2824"/>
      <c r="R79" s="2824"/>
      <c r="S79" s="2824"/>
      <c r="T79" s="2824"/>
      <c r="U79" s="2824"/>
      <c r="V79" s="2824"/>
      <c r="W79" s="2824"/>
      <c r="X79" s="2824"/>
      <c r="Y79" s="2824"/>
      <c r="Z79" s="2824"/>
      <c r="AA79" s="2831"/>
      <c r="AB79" s="2831"/>
      <c r="AC79" s="2831"/>
      <c r="AD79" s="2831"/>
      <c r="AE79" s="2831"/>
      <c r="AF79" s="2831"/>
      <c r="AG79" s="2831"/>
      <c r="AH79" s="2831"/>
      <c r="AI79" s="2831"/>
    </row>
    <row r="80" s="2504" customFormat="1" ht="24" spans="1:35">
      <c r="A80" s="2665" t="s">
        <v>909</v>
      </c>
      <c r="B80" s="2712" t="s">
        <v>930</v>
      </c>
      <c r="C80" s="2745" t="e">
        <f ca="1">IF(C79&lt;=0,0,C79/C73)</f>
        <v>#REF!</v>
      </c>
      <c r="D80" s="584" t="s">
        <v>124</v>
      </c>
      <c r="E80" s="2182" t="e">
        <f ca="1">IF(C80&gt;=200%,"增值额超过扣除项目金额200%",IF(C80&gt;=100%,"增值额超过扣除项目金额100%，未超过200%",IF(C80&gt;=50%,"增值额超过扣除项目金额50%，未超过100%",IF(C80&lt;50%,"增值额未超过扣除项目金额50%"))))</f>
        <v>#REF!</v>
      </c>
      <c r="F80" s="2060"/>
      <c r="G80" s="2060"/>
      <c r="H80" s="2729"/>
      <c r="I80" s="2825"/>
      <c r="J80" s="2824"/>
      <c r="K80" s="2824"/>
      <c r="L80" s="2824"/>
      <c r="M80" s="2824"/>
      <c r="N80" s="2824"/>
      <c r="O80" s="2824"/>
      <c r="P80" s="2824"/>
      <c r="Q80" s="2824"/>
      <c r="R80" s="2824"/>
      <c r="S80" s="2824"/>
      <c r="T80" s="2824"/>
      <c r="U80" s="2824"/>
      <c r="V80" s="2824"/>
      <c r="W80" s="2824"/>
      <c r="X80" s="2824"/>
      <c r="Y80" s="2824"/>
      <c r="Z80" s="2824"/>
      <c r="AA80" s="2831"/>
      <c r="AB80" s="2831"/>
      <c r="AC80" s="2831"/>
      <c r="AD80" s="2831"/>
      <c r="AE80" s="2831"/>
      <c r="AF80" s="2831"/>
      <c r="AG80" s="2831"/>
      <c r="AH80" s="2831"/>
      <c r="AI80" s="2831"/>
    </row>
    <row r="81" s="2504" customFormat="1" ht="24.75" spans="1:35">
      <c r="A81" s="2716" t="s">
        <v>931</v>
      </c>
      <c r="B81" s="2717" t="s">
        <v>932</v>
      </c>
      <c r="C81" s="2746" t="e">
        <f ca="1">ROUND(IF(C79&lt;=0,0,IF(C80&gt;=200%,C79*60%-C73*35%,IF(C80&gt;=100%,C79*50%-C73*15%,IF(C80&gt;=50%,C79*40%-C73*5%,IF(C80&lt;50%,C79*30%,0))))),0)</f>
        <v>#REF!</v>
      </c>
      <c r="D81" s="2747" t="s">
        <v>124</v>
      </c>
      <c r="E81" s="274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9"/>
      <c r="G81" s="2749"/>
      <c r="H81" s="2750"/>
      <c r="I81" s="2825"/>
      <c r="J81" s="2824"/>
      <c r="K81" s="2824"/>
      <c r="L81" s="2824"/>
      <c r="M81" s="2824"/>
      <c r="N81" s="2824"/>
      <c r="O81" s="2824"/>
      <c r="P81" s="2824"/>
      <c r="Q81" s="2824"/>
      <c r="R81" s="2824"/>
      <c r="S81" s="2824"/>
      <c r="T81" s="2824"/>
      <c r="U81" s="2824"/>
      <c r="V81" s="2824"/>
      <c r="W81" s="2824"/>
      <c r="X81" s="2824"/>
      <c r="Y81" s="2824"/>
      <c r="Z81" s="2824"/>
      <c r="AA81" s="2831"/>
      <c r="AB81" s="2831"/>
      <c r="AC81" s="2831"/>
      <c r="AD81" s="2831"/>
      <c r="AE81" s="2831"/>
      <c r="AF81" s="2831"/>
      <c r="AG81" s="2831"/>
      <c r="AH81" s="2831"/>
      <c r="AI81" s="2831"/>
    </row>
    <row r="82" s="2504" customFormat="1" ht="7.5" customHeight="1" spans="1:35">
      <c r="A82" s="2751"/>
      <c r="B82" s="2752"/>
      <c r="C82" s="759"/>
      <c r="D82" s="759"/>
      <c r="E82" s="2752"/>
      <c r="F82" s="2752"/>
      <c r="G82" s="2752"/>
      <c r="H82" s="2753"/>
      <c r="I82" s="2826"/>
      <c r="J82" s="2824"/>
      <c r="K82" s="2824"/>
      <c r="L82" s="2824"/>
      <c r="M82" s="2824"/>
      <c r="N82" s="2824"/>
      <c r="O82" s="2824"/>
      <c r="P82" s="2824"/>
      <c r="Q82" s="2824"/>
      <c r="R82" s="2824"/>
      <c r="S82" s="2824"/>
      <c r="T82" s="2824"/>
      <c r="U82" s="2824"/>
      <c r="V82" s="2824"/>
      <c r="W82" s="2824"/>
      <c r="X82" s="2824"/>
      <c r="Y82" s="2824"/>
      <c r="Z82" s="2824"/>
      <c r="AA82" s="2831"/>
      <c r="AB82" s="2831"/>
      <c r="AC82" s="2831"/>
      <c r="AD82" s="2831"/>
      <c r="AE82" s="2831"/>
      <c r="AF82" s="2831"/>
      <c r="AG82" s="2831"/>
      <c r="AH82" s="2831"/>
      <c r="AI82" s="2831"/>
    </row>
    <row r="83" s="2504" customFormat="1" ht="15" spans="1:35">
      <c r="A83" s="2724" t="s">
        <v>933</v>
      </c>
      <c r="B83" s="2725"/>
      <c r="C83" s="2725"/>
      <c r="D83" s="2725"/>
      <c r="E83" s="2725"/>
      <c r="F83" s="2725"/>
      <c r="G83" s="2725"/>
      <c r="H83" s="2725"/>
      <c r="I83" s="878"/>
      <c r="J83" s="2824"/>
      <c r="K83" s="2824"/>
      <c r="L83" s="2824"/>
      <c r="M83" s="2824"/>
      <c r="N83" s="2824"/>
      <c r="O83" s="2824"/>
      <c r="P83" s="2824"/>
      <c r="Q83" s="2824"/>
      <c r="R83" s="2824"/>
      <c r="S83" s="2824"/>
      <c r="T83" s="2824"/>
      <c r="U83" s="2824"/>
      <c r="V83" s="2824"/>
      <c r="W83" s="2824"/>
      <c r="X83" s="2824"/>
      <c r="Y83" s="2824"/>
      <c r="Z83" s="2824"/>
      <c r="AA83" s="2831"/>
      <c r="AB83" s="2831"/>
      <c r="AC83" s="2831"/>
      <c r="AD83" s="2831"/>
      <c r="AE83" s="2831"/>
      <c r="AF83" s="2831"/>
      <c r="AG83" s="2831"/>
      <c r="AH83" s="2831"/>
      <c r="AI83" s="2831"/>
    </row>
    <row r="84" s="2504" customFormat="1" ht="14.25" spans="1:35">
      <c r="A84" s="2663" t="s">
        <v>888</v>
      </c>
      <c r="B84" s="601"/>
      <c r="C84" s="601"/>
      <c r="D84" s="601" t="s">
        <v>889</v>
      </c>
      <c r="E84" s="2726" t="s">
        <v>843</v>
      </c>
      <c r="F84" s="2727"/>
      <c r="G84" s="2727"/>
      <c r="H84" s="2754"/>
      <c r="I84" s="878"/>
      <c r="J84" s="2824"/>
      <c r="K84" s="2824"/>
      <c r="L84" s="2824"/>
      <c r="M84" s="2824"/>
      <c r="N84" s="2824"/>
      <c r="O84" s="2824"/>
      <c r="P84" s="2824"/>
      <c r="Q84" s="2824"/>
      <c r="R84" s="2824"/>
      <c r="S84" s="2824"/>
      <c r="T84" s="2824"/>
      <c r="U84" s="2824"/>
      <c r="V84" s="2824"/>
      <c r="W84" s="2824"/>
      <c r="X84" s="2824"/>
      <c r="Y84" s="2824"/>
      <c r="Z84" s="2824"/>
      <c r="AA84" s="2831"/>
      <c r="AB84" s="2831"/>
      <c r="AC84" s="2831"/>
      <c r="AD84" s="2831"/>
      <c r="AE84" s="2831"/>
      <c r="AF84" s="2831"/>
      <c r="AG84" s="2831"/>
      <c r="AH84" s="2831"/>
      <c r="AI84" s="2831"/>
    </row>
    <row r="85" s="2504" customFormat="1" ht="14.25" spans="1:35">
      <c r="A85" s="2665" t="s">
        <v>890</v>
      </c>
      <c r="B85" s="2712" t="s">
        <v>914</v>
      </c>
      <c r="C85" s="2715" t="e">
        <f ca="1">ROUND(D45/(1+'数据-取费表'!C42),0)</f>
        <v>#REF!</v>
      </c>
      <c r="D85" s="584" t="s">
        <v>124</v>
      </c>
      <c r="E85" s="2059"/>
      <c r="F85" s="2060"/>
      <c r="G85" s="2060"/>
      <c r="H85" s="2755"/>
      <c r="I85" s="878"/>
      <c r="J85" s="2824"/>
      <c r="K85" s="2824"/>
      <c r="L85" s="2824"/>
      <c r="M85" s="2824"/>
      <c r="N85" s="2824"/>
      <c r="O85" s="2824"/>
      <c r="P85" s="2824"/>
      <c r="Q85" s="2824"/>
      <c r="R85" s="2824"/>
      <c r="S85" s="2824"/>
      <c r="T85" s="2824"/>
      <c r="U85" s="2824"/>
      <c r="V85" s="2824"/>
      <c r="W85" s="2824"/>
      <c r="X85" s="2824"/>
      <c r="Y85" s="2824"/>
      <c r="Z85" s="2824"/>
      <c r="AA85" s="2831"/>
      <c r="AB85" s="2831"/>
      <c r="AC85" s="2831"/>
      <c r="AD85" s="2831"/>
      <c r="AE85" s="2831"/>
      <c r="AF85" s="2831"/>
      <c r="AG85" s="2831"/>
      <c r="AH85" s="2831"/>
      <c r="AI85" s="2831"/>
    </row>
    <row r="86" s="2504" customFormat="1" ht="14.25" spans="1:35">
      <c r="A86" s="2665" t="s">
        <v>901</v>
      </c>
      <c r="B86" s="2626" t="s">
        <v>915</v>
      </c>
      <c r="C86" s="2715" t="e">
        <f ca="1">IF(H88="仅含出让金",C87+C90+C91+C92+C93+C94,C87+C91+C92+C93+C94)</f>
        <v>#REF!</v>
      </c>
      <c r="D86" s="2756"/>
      <c r="E86" s="2059"/>
      <c r="F86" s="2060"/>
      <c r="G86" s="2060"/>
      <c r="H86" s="2755"/>
      <c r="I86" s="878"/>
      <c r="J86" s="2824"/>
      <c r="K86" s="2824"/>
      <c r="L86" s="2824"/>
      <c r="M86" s="2824"/>
      <c r="N86" s="2824"/>
      <c r="O86" s="2824"/>
      <c r="P86" s="2824"/>
      <c r="Q86" s="2824"/>
      <c r="R86" s="2824"/>
      <c r="S86" s="2824"/>
      <c r="T86" s="2824"/>
      <c r="U86" s="2824"/>
      <c r="V86" s="2824"/>
      <c r="W86" s="2824"/>
      <c r="X86" s="2824"/>
      <c r="Y86" s="2824"/>
      <c r="Z86" s="2824"/>
      <c r="AA86" s="2831"/>
      <c r="AB86" s="2831"/>
      <c r="AC86" s="2831"/>
      <c r="AD86" s="2831"/>
      <c r="AE86" s="2831"/>
      <c r="AF86" s="2831"/>
      <c r="AG86" s="2831"/>
      <c r="AH86" s="2831"/>
      <c r="AI86" s="2831"/>
    </row>
    <row r="87" s="2504" customFormat="1" ht="14.25" spans="1:35">
      <c r="A87" s="2668" t="s">
        <v>894</v>
      </c>
      <c r="B87" s="584" t="s">
        <v>934</v>
      </c>
      <c r="C87" s="2740">
        <f>C88+C89</f>
        <v>0</v>
      </c>
      <c r="D87" s="2741"/>
      <c r="E87" s="2742"/>
      <c r="F87" s="2743"/>
      <c r="G87" s="2743"/>
      <c r="H87" s="2744"/>
      <c r="I87" s="878"/>
      <c r="J87" s="2824"/>
      <c r="K87" s="2824"/>
      <c r="L87" s="2824"/>
      <c r="M87" s="2824"/>
      <c r="N87" s="2824"/>
      <c r="O87" s="2824"/>
      <c r="P87" s="2824"/>
      <c r="Q87" s="2824"/>
      <c r="R87" s="2824"/>
      <c r="S87" s="2824"/>
      <c r="T87" s="2824"/>
      <c r="U87" s="2824"/>
      <c r="V87" s="2824"/>
      <c r="W87" s="2824"/>
      <c r="X87" s="2824"/>
      <c r="Y87" s="2824"/>
      <c r="Z87" s="2824"/>
      <c r="AA87" s="2831"/>
      <c r="AB87" s="2831"/>
      <c r="AC87" s="2831"/>
      <c r="AD87" s="2831"/>
      <c r="AE87" s="2831"/>
      <c r="AF87" s="2831"/>
      <c r="AG87" s="2831"/>
      <c r="AH87" s="2831"/>
      <c r="AI87" s="2831"/>
    </row>
    <row r="88" s="2504" customFormat="1" ht="14.25" spans="1:35">
      <c r="A88" s="2668" t="s">
        <v>917</v>
      </c>
      <c r="B88" s="584" t="s">
        <v>935</v>
      </c>
      <c r="C88" s="2757"/>
      <c r="D88" s="2741"/>
      <c r="E88" s="2758" t="s">
        <v>936</v>
      </c>
      <c r="F88" s="2743"/>
      <c r="G88" s="2759" t="s">
        <v>937</v>
      </c>
      <c r="H88" s="2760"/>
      <c r="I88" s="878"/>
      <c r="J88" s="2827" t="s">
        <v>938</v>
      </c>
      <c r="K88" s="2824"/>
      <c r="L88" s="2824"/>
      <c r="M88" s="2824"/>
      <c r="N88" s="2824"/>
      <c r="O88" s="2824"/>
      <c r="P88" s="2824"/>
      <c r="Q88" s="2824"/>
      <c r="R88" s="2824"/>
      <c r="S88" s="2824"/>
      <c r="T88" s="2824"/>
      <c r="U88" s="2824"/>
      <c r="V88" s="2824"/>
      <c r="W88" s="2824"/>
      <c r="X88" s="2824"/>
      <c r="Y88" s="2824"/>
      <c r="Z88" s="2824"/>
      <c r="AA88" s="2831"/>
      <c r="AB88" s="2831"/>
      <c r="AC88" s="2831"/>
      <c r="AD88" s="2831"/>
      <c r="AE88" s="2831"/>
      <c r="AF88" s="2831"/>
      <c r="AG88" s="2831"/>
      <c r="AH88" s="2831"/>
      <c r="AI88" s="2831"/>
    </row>
    <row r="89" s="2504" customFormat="1" ht="14.25" spans="1:35">
      <c r="A89" s="2668" t="s">
        <v>921</v>
      </c>
      <c r="B89" s="584" t="s">
        <v>925</v>
      </c>
      <c r="C89" s="2740">
        <f>ROUND(C88*D89,0)</f>
        <v>0</v>
      </c>
      <c r="D89" s="2741">
        <f>'数据-取费表'!B48+'数据-取费表'!B49</f>
        <v>0.0305</v>
      </c>
      <c r="E89" s="2758" t="s">
        <v>939</v>
      </c>
      <c r="F89" s="2743"/>
      <c r="G89" s="2743"/>
      <c r="H89" s="2744"/>
      <c r="I89" s="878"/>
      <c r="J89" s="2824"/>
      <c r="K89" s="2824"/>
      <c r="L89" s="2824"/>
      <c r="M89" s="2824"/>
      <c r="N89" s="2824"/>
      <c r="O89" s="2824"/>
      <c r="P89" s="2824"/>
      <c r="Q89" s="2824"/>
      <c r="R89" s="2824"/>
      <c r="S89" s="2824"/>
      <c r="T89" s="2824"/>
      <c r="U89" s="2824"/>
      <c r="V89" s="2824"/>
      <c r="W89" s="2824"/>
      <c r="X89" s="2824"/>
      <c r="Y89" s="2824"/>
      <c r="Z89" s="2824"/>
      <c r="AA89" s="2831"/>
      <c r="AB89" s="2831"/>
      <c r="AC89" s="2831"/>
      <c r="AD89" s="2831"/>
      <c r="AE89" s="2831"/>
      <c r="AF89" s="2831"/>
      <c r="AG89" s="2831"/>
      <c r="AH89" s="2831"/>
      <c r="AI89" s="2831"/>
    </row>
    <row r="90" s="2504" customFormat="1" ht="14.25" spans="1:35">
      <c r="A90" s="2668" t="s">
        <v>898</v>
      </c>
      <c r="B90" s="584" t="s">
        <v>940</v>
      </c>
      <c r="C90" s="2757"/>
      <c r="D90" s="2741"/>
      <c r="E90" s="2758" t="str">
        <f>IF(H88="-","土地取得成本中已包含该笔费用"," ")</f>
        <v/>
      </c>
      <c r="F90" s="2743"/>
      <c r="G90" s="2761" t="s">
        <v>941</v>
      </c>
      <c r="H90" s="2762"/>
      <c r="I90" s="878"/>
      <c r="J90" s="2827" t="s">
        <v>942</v>
      </c>
      <c r="K90" s="2824"/>
      <c r="L90" s="2824"/>
      <c r="M90" s="2824"/>
      <c r="N90" s="2824"/>
      <c r="O90" s="2824"/>
      <c r="P90" s="2824"/>
      <c r="Q90" s="2824"/>
      <c r="R90" s="2824"/>
      <c r="S90" s="2824"/>
      <c r="T90" s="2824"/>
      <c r="U90" s="2824"/>
      <c r="V90" s="2824"/>
      <c r="W90" s="2824"/>
      <c r="X90" s="2824"/>
      <c r="Y90" s="2824"/>
      <c r="Z90" s="2824"/>
      <c r="AA90" s="2831"/>
      <c r="AB90" s="2831"/>
      <c r="AC90" s="2831"/>
      <c r="AD90" s="2831"/>
      <c r="AE90" s="2831"/>
      <c r="AF90" s="2831"/>
      <c r="AG90" s="2831"/>
      <c r="AH90" s="2831"/>
      <c r="AI90" s="2831"/>
    </row>
    <row r="91" s="2504" customFormat="1" ht="27.75" customHeight="1" spans="1:35">
      <c r="A91" s="2668" t="s">
        <v>943</v>
      </c>
      <c r="B91" s="584" t="s">
        <v>944</v>
      </c>
      <c r="C91" s="2740">
        <f ca="1">IF(H91="——",成本法!C33,I91)</f>
        <v>0</v>
      </c>
      <c r="D91" s="2741"/>
      <c r="E91" s="2742" t="s">
        <v>945</v>
      </c>
      <c r="F91" s="2743"/>
      <c r="G91" s="2743"/>
      <c r="H91" s="2763"/>
      <c r="I91" s="2828"/>
      <c r="J91" s="2824"/>
      <c r="K91" s="2824"/>
      <c r="L91" s="2824"/>
      <c r="M91" s="2824"/>
      <c r="N91" s="2824"/>
      <c r="O91" s="2824"/>
      <c r="P91" s="2824"/>
      <c r="Q91" s="2824"/>
      <c r="R91" s="2824"/>
      <c r="S91" s="2824"/>
      <c r="T91" s="2824"/>
      <c r="U91" s="2824"/>
      <c r="V91" s="2824"/>
      <c r="W91" s="2824"/>
      <c r="X91" s="2824"/>
      <c r="Y91" s="2824"/>
      <c r="Z91" s="2824"/>
      <c r="AA91" s="2831"/>
      <c r="AB91" s="2831"/>
      <c r="AC91" s="2831"/>
      <c r="AD91" s="2831"/>
      <c r="AE91" s="2831"/>
      <c r="AF91" s="2831"/>
      <c r="AG91" s="2831"/>
      <c r="AH91" s="2831"/>
      <c r="AI91" s="2831"/>
    </row>
    <row r="92" s="2504" customFormat="1" ht="25.5" customHeight="1" spans="1:35">
      <c r="A92" s="2668" t="s">
        <v>946</v>
      </c>
      <c r="B92" s="584" t="s">
        <v>947</v>
      </c>
      <c r="C92" s="2740">
        <f ca="1">ROUND((C87+C90+C91)*D92,0)</f>
        <v>0</v>
      </c>
      <c r="D92" s="2764"/>
      <c r="E92" s="2742" t="s">
        <v>948</v>
      </c>
      <c r="F92" s="2743"/>
      <c r="G92" s="2743"/>
      <c r="H92" s="2744"/>
      <c r="I92" s="878"/>
      <c r="J92" s="2829" t="s">
        <v>949</v>
      </c>
      <c r="K92" s="2824"/>
      <c r="L92" s="2824"/>
      <c r="M92" s="2824"/>
      <c r="N92" s="2824"/>
      <c r="O92" s="2824"/>
      <c r="P92" s="2824"/>
      <c r="Q92" s="2824"/>
      <c r="R92" s="2824"/>
      <c r="S92" s="2824"/>
      <c r="T92" s="2824"/>
      <c r="U92" s="2824"/>
      <c r="V92" s="2824"/>
      <c r="W92" s="2824"/>
      <c r="X92" s="2824"/>
      <c r="Y92" s="2824"/>
      <c r="Z92" s="2824"/>
      <c r="AA92" s="2831"/>
      <c r="AB92" s="2831"/>
      <c r="AC92" s="2831"/>
      <c r="AD92" s="2831"/>
      <c r="AE92" s="2831"/>
      <c r="AF92" s="2831"/>
      <c r="AG92" s="2831"/>
      <c r="AH92" s="2831"/>
      <c r="AI92" s="2831"/>
    </row>
    <row r="93" s="2504" customFormat="1" ht="25.5" customHeight="1" spans="1:35">
      <c r="A93" s="2668" t="s">
        <v>950</v>
      </c>
      <c r="B93" s="584" t="s">
        <v>927</v>
      </c>
      <c r="C93" s="2740" t="e">
        <f ca="1">ROUND(D45*D93/(1+'数据-取费表'!C42),0)</f>
        <v>#REF!</v>
      </c>
      <c r="D93" s="2741">
        <f>'数据-取费表'!B43</f>
        <v>0.006</v>
      </c>
      <c r="E93" s="2742" t="s">
        <v>928</v>
      </c>
      <c r="F93" s="2743"/>
      <c r="G93" s="2743"/>
      <c r="H93" s="2744"/>
      <c r="I93" s="878"/>
      <c r="J93" s="2824"/>
      <c r="K93" s="2824"/>
      <c r="L93" s="2824"/>
      <c r="M93" s="2824"/>
      <c r="N93" s="2824"/>
      <c r="O93" s="2824"/>
      <c r="P93" s="2824"/>
      <c r="Q93" s="2824"/>
      <c r="R93" s="2824"/>
      <c r="S93" s="2824"/>
      <c r="T93" s="2824"/>
      <c r="U93" s="2824"/>
      <c r="V93" s="2824"/>
      <c r="W93" s="2824"/>
      <c r="X93" s="2824"/>
      <c r="Y93" s="2824"/>
      <c r="Z93" s="2824"/>
      <c r="AA93" s="2831"/>
      <c r="AB93" s="2831"/>
      <c r="AC93" s="2831"/>
      <c r="AD93" s="2831"/>
      <c r="AE93" s="2831"/>
      <c r="AF93" s="2831"/>
      <c r="AG93" s="2831"/>
      <c r="AH93" s="2831"/>
      <c r="AI93" s="2831"/>
    </row>
    <row r="94" s="2504" customFormat="1" ht="36.75" customHeight="1" spans="1:35">
      <c r="A94" s="2668" t="s">
        <v>951</v>
      </c>
      <c r="B94" s="584" t="s">
        <v>952</v>
      </c>
      <c r="C94" s="2757">
        <f ca="1">ROUND((C87+C90+C91)*D94,0)</f>
        <v>0</v>
      </c>
      <c r="D94" s="2741">
        <v>0.2</v>
      </c>
      <c r="E94" s="2765" t="s">
        <v>953</v>
      </c>
      <c r="F94" s="2766"/>
      <c r="G94" s="2766"/>
      <c r="H94" s="2767"/>
      <c r="I94" s="878"/>
      <c r="J94" s="2824"/>
      <c r="K94" s="2824"/>
      <c r="L94" s="2824"/>
      <c r="M94" s="2824"/>
      <c r="N94" s="2824"/>
      <c r="O94" s="2824"/>
      <c r="P94" s="2824"/>
      <c r="Q94" s="2824"/>
      <c r="R94" s="2824"/>
      <c r="S94" s="2824"/>
      <c r="T94" s="2824"/>
      <c r="U94" s="2824"/>
      <c r="V94" s="2824"/>
      <c r="W94" s="2824"/>
      <c r="X94" s="2824"/>
      <c r="Y94" s="2824"/>
      <c r="Z94" s="2824"/>
      <c r="AA94" s="2831"/>
      <c r="AB94" s="2831"/>
      <c r="AC94" s="2831"/>
      <c r="AD94" s="2831"/>
      <c r="AE94" s="2831"/>
      <c r="AF94" s="2831"/>
      <c r="AG94" s="2831"/>
      <c r="AH94" s="2831"/>
      <c r="AI94" s="2831"/>
    </row>
    <row r="95" s="2504" customFormat="1" ht="14.25" spans="1:35">
      <c r="A95" s="2665" t="s">
        <v>906</v>
      </c>
      <c r="B95" s="2712" t="s">
        <v>929</v>
      </c>
      <c r="C95" s="2715" t="e">
        <f ca="1">ROUND(C85-C86,0)</f>
        <v>#REF!</v>
      </c>
      <c r="D95" s="584" t="s">
        <v>124</v>
      </c>
      <c r="E95" s="2059"/>
      <c r="F95" s="2060"/>
      <c r="G95" s="2060"/>
      <c r="H95" s="2755"/>
      <c r="I95" s="878"/>
      <c r="J95" s="2824"/>
      <c r="K95" s="2824"/>
      <c r="L95" s="2824"/>
      <c r="M95" s="2824"/>
      <c r="N95" s="2824"/>
      <c r="O95" s="2824"/>
      <c r="P95" s="2824"/>
      <c r="Q95" s="2824"/>
      <c r="R95" s="2824"/>
      <c r="S95" s="2824"/>
      <c r="T95" s="2824"/>
      <c r="U95" s="2824"/>
      <c r="V95" s="2824"/>
      <c r="W95" s="2824"/>
      <c r="X95" s="2824"/>
      <c r="Y95" s="2824"/>
      <c r="Z95" s="2824"/>
      <c r="AA95" s="2831"/>
      <c r="AB95" s="2831"/>
      <c r="AC95" s="2831"/>
      <c r="AD95" s="2831"/>
      <c r="AE95" s="2831"/>
      <c r="AF95" s="2831"/>
      <c r="AG95" s="2831"/>
      <c r="AH95" s="2831"/>
      <c r="AI95" s="2831"/>
    </row>
    <row r="96" s="2504" customFormat="1" ht="24" spans="1:35">
      <c r="A96" s="2665" t="s">
        <v>909</v>
      </c>
      <c r="B96" s="2712" t="s">
        <v>930</v>
      </c>
      <c r="C96" s="2745" t="e">
        <f ca="1">IF(C95&lt;=0,0,C95/C86)</f>
        <v>#REF!</v>
      </c>
      <c r="D96" s="584" t="s">
        <v>124</v>
      </c>
      <c r="E96" s="2182" t="e">
        <f ca="1">IF(C96&gt;=200%,"增值额超过扣除项目金额200%",IF(C96&gt;=100%,"增值额超过扣除项目金额100%，未超过200%",IF(C96&gt;=50%,"增值额超过扣除项目金额50%，未超过100%",IF(C96&lt;50%,"增值额未超过扣除项目金额50%"))))</f>
        <v>#REF!</v>
      </c>
      <c r="F96" s="2060"/>
      <c r="G96" s="2060"/>
      <c r="H96" s="2755"/>
      <c r="I96" s="878"/>
      <c r="J96" s="2824"/>
      <c r="K96" s="2824"/>
      <c r="L96" s="2824"/>
      <c r="M96" s="2824"/>
      <c r="N96" s="2824"/>
      <c r="O96" s="2824"/>
      <c r="P96" s="2824"/>
      <c r="Q96" s="2824"/>
      <c r="R96" s="2824"/>
      <c r="S96" s="2824"/>
      <c r="T96" s="2824"/>
      <c r="U96" s="2824"/>
      <c r="V96" s="2824"/>
      <c r="W96" s="2824"/>
      <c r="X96" s="2824"/>
      <c r="Y96" s="2824"/>
      <c r="Z96" s="2824"/>
      <c r="AA96" s="2831"/>
      <c r="AB96" s="2831"/>
      <c r="AC96" s="2831"/>
      <c r="AD96" s="2831"/>
      <c r="AE96" s="2831"/>
      <c r="AF96" s="2831"/>
      <c r="AG96" s="2831"/>
      <c r="AH96" s="2831"/>
      <c r="AI96" s="2831"/>
    </row>
    <row r="97" s="2504" customFormat="1" ht="24.75" spans="1:35">
      <c r="A97" s="2716" t="s">
        <v>931</v>
      </c>
      <c r="B97" s="2717" t="s">
        <v>932</v>
      </c>
      <c r="C97" s="2746" t="e">
        <f ca="1">ROUND(IF(C95&lt;=0,0,IF(C96&gt;=200%,C95*60%-C86*35%,IF(C96&gt;=100%,C95*50%-C86*15%,IF(C96&gt;=50%,C95*40%-C86*5%,IF(C96&lt;50%,C95*30%,0))))),0)</f>
        <v>#REF!</v>
      </c>
      <c r="D97" s="2747" t="s">
        <v>124</v>
      </c>
      <c r="E97" s="274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9"/>
      <c r="G97" s="2749"/>
      <c r="H97" s="2768"/>
      <c r="I97" s="878"/>
      <c r="J97" s="2824"/>
      <c r="K97" s="2824"/>
      <c r="L97" s="2824"/>
      <c r="M97" s="2824"/>
      <c r="N97" s="2824"/>
      <c r="O97" s="2824"/>
      <c r="P97" s="2824"/>
      <c r="Q97" s="2824"/>
      <c r="R97" s="2824"/>
      <c r="S97" s="2824"/>
      <c r="T97" s="2824"/>
      <c r="U97" s="2824"/>
      <c r="V97" s="2824"/>
      <c r="W97" s="2824"/>
      <c r="X97" s="2824"/>
      <c r="Y97" s="2824"/>
      <c r="Z97" s="2824"/>
      <c r="AA97" s="2831"/>
      <c r="AB97" s="2831"/>
      <c r="AC97" s="2831"/>
      <c r="AD97" s="2831"/>
      <c r="AE97" s="2831"/>
      <c r="AF97" s="2831"/>
      <c r="AG97" s="2831"/>
      <c r="AH97" s="2831"/>
      <c r="AI97" s="2831"/>
    </row>
    <row r="98" customHeight="1" spans="1:9">
      <c r="A98" s="2658"/>
      <c r="B98" s="2508"/>
      <c r="C98" s="2508"/>
      <c r="D98" s="2508"/>
      <c r="E98" s="2659"/>
      <c r="F98" s="2659"/>
      <c r="G98" s="2659"/>
      <c r="H98" s="2607"/>
      <c r="I98" s="1037"/>
    </row>
    <row r="99" customHeight="1" spans="1:9">
      <c r="A99" s="2609" t="s">
        <v>954</v>
      </c>
      <c r="B99" s="2508"/>
      <c r="C99" s="2508"/>
      <c r="D99" s="2508"/>
      <c r="E99" s="2659"/>
      <c r="F99" s="2659"/>
      <c r="G99" s="2659"/>
      <c r="H99" s="2607"/>
      <c r="I99" s="1037"/>
    </row>
    <row r="100" ht="18.75" customHeight="1" spans="1:9">
      <c r="A100" s="2769" t="s">
        <v>955</v>
      </c>
      <c r="B100" s="2770"/>
      <c r="C100" s="2770"/>
      <c r="D100" s="2771"/>
      <c r="E100" s="2770" t="s">
        <v>956</v>
      </c>
      <c r="F100" s="2770"/>
      <c r="G100" s="2770"/>
      <c r="H100" s="2771"/>
      <c r="I100" s="1037"/>
    </row>
    <row r="101" ht="18.75" customHeight="1" spans="1:9">
      <c r="A101" s="2772" t="s">
        <v>957</v>
      </c>
      <c r="B101" s="2773"/>
      <c r="C101" s="2774" t="str">
        <f>C4</f>
        <v>收益法 (元)</v>
      </c>
      <c r="D101" s="2775" t="str">
        <f>D4</f>
        <v>比较法-住宅</v>
      </c>
      <c r="E101" s="2776" t="s">
        <v>958</v>
      </c>
      <c r="F101" s="2777"/>
      <c r="G101" s="2778" t="s">
        <v>959</v>
      </c>
      <c r="H101" s="2779" t="e">
        <f ca="1">H118</f>
        <v>#REF!</v>
      </c>
      <c r="I101" s="1037"/>
    </row>
    <row r="102" ht="18.75" customHeight="1" spans="1:9">
      <c r="A102" s="2780" t="s">
        <v>960</v>
      </c>
      <c r="B102" s="2781" t="s">
        <v>959</v>
      </c>
      <c r="C102" s="2774">
        <f ca="1">IF(D32="楼面单价",ROUND(C19,0),C19)</f>
        <v>1242.8229</v>
      </c>
      <c r="D102" s="2775">
        <f ca="1">IF(D32="楼面单价",ROUND(D19,0),D19)</f>
        <v>2877.8598</v>
      </c>
      <c r="E102" s="2776"/>
      <c r="F102" s="2777"/>
      <c r="G102" s="2778" t="s">
        <v>99</v>
      </c>
      <c r="H102" s="2645" t="e">
        <f ca="1">I118</f>
        <v>#REF!</v>
      </c>
      <c r="I102" s="1037"/>
    </row>
    <row r="103" ht="42.75" customHeight="1" spans="1:9">
      <c r="A103" s="2780"/>
      <c r="B103" s="2781" t="s">
        <v>99</v>
      </c>
      <c r="C103" s="2782">
        <f ca="1">C20</f>
        <v>58743</v>
      </c>
      <c r="D103" s="2783">
        <f ca="1">D20</f>
        <v>136024</v>
      </c>
      <c r="E103" s="2784" t="s">
        <v>961</v>
      </c>
      <c r="F103" s="2785"/>
      <c r="G103" s="2786" t="s">
        <v>102</v>
      </c>
      <c r="H103" s="2779">
        <f>IF(D36="正常操作",H104+H105+H106,H105+H106)</f>
        <v>0</v>
      </c>
      <c r="I103" s="1037"/>
    </row>
    <row r="104" ht="18.75" customHeight="1" spans="1:9">
      <c r="A104" s="2780" t="s">
        <v>962</v>
      </c>
      <c r="B104" s="2787" t="s">
        <v>959</v>
      </c>
      <c r="C104" s="2788" t="e">
        <f ca="1">H118</f>
        <v>#REF!</v>
      </c>
      <c r="D104" s="2789"/>
      <c r="E104" s="2591" t="s">
        <v>963</v>
      </c>
      <c r="F104" s="2790"/>
      <c r="G104" s="2786" t="s">
        <v>102</v>
      </c>
      <c r="H104" s="2791">
        <f>IF(D36="同一抵押权人同一抵押物续贷",C36&amp;"（续贷，未扣减，详见特别提示）",C36)</f>
        <v>0</v>
      </c>
      <c r="I104" s="1037"/>
    </row>
    <row r="105" ht="18.75" customHeight="1" spans="1:9">
      <c r="A105" s="2792"/>
      <c r="B105" s="2793" t="s">
        <v>99</v>
      </c>
      <c r="C105" s="2794" t="e">
        <f ca="1">I118</f>
        <v>#REF!</v>
      </c>
      <c r="D105" s="2795"/>
      <c r="E105" s="2591" t="s">
        <v>964</v>
      </c>
      <c r="F105" s="2790"/>
      <c r="G105" s="2786" t="s">
        <v>102</v>
      </c>
      <c r="H105" s="2796">
        <f>C37</f>
        <v>0</v>
      </c>
      <c r="I105" s="1037"/>
    </row>
    <row r="106" ht="18.75" customHeight="1" spans="1:9">
      <c r="A106" s="2508" t="s">
        <v>965</v>
      </c>
      <c r="B106" s="2508"/>
      <c r="C106" s="2508"/>
      <c r="D106" s="2508"/>
      <c r="E106" s="2797" t="s">
        <v>966</v>
      </c>
      <c r="F106" s="2790"/>
      <c r="G106" s="2786" t="s">
        <v>102</v>
      </c>
      <c r="H106" s="2796">
        <f>C38</f>
        <v>0</v>
      </c>
      <c r="I106" s="1037"/>
    </row>
    <row r="107" ht="18.75" customHeight="1" spans="1:9">
      <c r="A107" s="1037"/>
      <c r="B107" s="1037"/>
      <c r="C107" s="1037"/>
      <c r="D107" s="1037"/>
      <c r="E107" s="2798" t="str">
        <f>IF(项目基本情况!E8="已注销","——","3.房地产抵押价值")</f>
        <v>——</v>
      </c>
      <c r="F107" s="2777"/>
      <c r="G107" s="2778" t="s">
        <v>959</v>
      </c>
      <c r="H107" s="2779" t="str">
        <f ca="1">IF(E107="——","——",H101-H103)</f>
        <v>——</v>
      </c>
      <c r="I107" s="1037"/>
    </row>
    <row r="108" ht="18.75" customHeight="1" spans="1:9">
      <c r="A108" s="1037"/>
      <c r="B108" s="1037"/>
      <c r="C108" s="1037"/>
      <c r="D108" s="1037"/>
      <c r="E108" s="2798"/>
      <c r="F108" s="2777"/>
      <c r="G108" s="2778" t="s">
        <v>99</v>
      </c>
      <c r="H108" s="2645">
        <f ca="1">IF(H107=H101,H102,ROUND(H107*10000/'数据-汇总表'!E3,0))</f>
        <v>0</v>
      </c>
      <c r="I108" s="1037"/>
    </row>
    <row r="109" ht="18.75" customHeight="1" spans="1:9">
      <c r="A109" s="1037"/>
      <c r="B109" s="1037"/>
      <c r="C109" s="1037"/>
      <c r="D109" s="1037"/>
      <c r="E109" s="2798" t="str">
        <f>IF(项目基本情况!E8="已注销及未注销","4.抵押担保权已注销时的房地产抵押价值",IF(项目基本情况!E8="已注销","3.抵押担保权已注销时的房地产抵押价值","——"))</f>
        <v>3.抵押担保权已注销时的房地产抵押价值</v>
      </c>
      <c r="F109" s="2777"/>
      <c r="G109" s="2778" t="s">
        <v>959</v>
      </c>
      <c r="H109" s="2799" t="str">
        <f ca="1">IF(E109="——","——",H101-H105-H106)</f>
        <v>——</v>
      </c>
      <c r="I109" s="1037"/>
    </row>
    <row r="110" ht="18.75" customHeight="1" spans="1:9">
      <c r="A110" s="1037"/>
      <c r="B110" s="1037"/>
      <c r="C110" s="1037"/>
      <c r="D110" s="1037"/>
      <c r="E110" s="2798"/>
      <c r="F110" s="2777"/>
      <c r="G110" s="2778" t="s">
        <v>99</v>
      </c>
      <c r="H110" s="2645" t="str">
        <f ca="1">IF(H109="——","——",ROUND(H109*10000/'数据-汇总表'!E3,0))</f>
        <v>——</v>
      </c>
      <c r="I110" s="1037"/>
    </row>
    <row r="111" ht="18.75" customHeight="1" spans="1:9">
      <c r="A111" s="1037"/>
      <c r="B111" s="1037"/>
      <c r="C111" s="1037"/>
      <c r="D111" s="1037"/>
      <c r="E111" s="2800" t="str">
        <f>IF(项目基本情况!E9="抵押净值",IF(OR(项目基本情况!E8="已注销",项目基本情况!E8="房地产抵押价值"),"4.抵押净值","5.抵押净值"),"——")</f>
        <v>——</v>
      </c>
      <c r="F111" s="2801"/>
      <c r="G111" s="2778" t="s">
        <v>959</v>
      </c>
      <c r="H111" s="2779" t="str">
        <f ca="1">IF(E111="——","——",N59)</f>
        <v>——</v>
      </c>
      <c r="I111" s="1037"/>
    </row>
    <row r="112" ht="18.75" customHeight="1" spans="1:9">
      <c r="A112" s="1037"/>
      <c r="B112" s="1037"/>
      <c r="C112" s="1037"/>
      <c r="D112" s="1037"/>
      <c r="E112" s="2802"/>
      <c r="F112" s="2803"/>
      <c r="G112" s="2804" t="s">
        <v>99</v>
      </c>
      <c r="H112" s="2805" t="str">
        <f ca="1">IF(E111="——","——",N61)</f>
        <v>——</v>
      </c>
      <c r="I112" s="1037"/>
    </row>
    <row r="113" ht="18.75" customHeight="1" spans="1:9">
      <c r="A113" s="1037"/>
      <c r="B113" s="1037"/>
      <c r="C113" s="1037"/>
      <c r="D113" s="1037"/>
      <c r="E113" s="2806" t="s">
        <v>965</v>
      </c>
      <c r="F113" s="2806"/>
      <c r="G113" s="2806"/>
      <c r="H113" s="2806"/>
      <c r="I113" s="1037"/>
    </row>
    <row r="114" ht="3.75" customHeight="1" spans="1:9">
      <c r="A114" s="2508"/>
      <c r="B114" s="2508"/>
      <c r="C114" s="2508"/>
      <c r="D114" s="2508"/>
      <c r="E114" s="2658"/>
      <c r="F114" s="2658"/>
      <c r="G114" s="2658"/>
      <c r="H114" s="2658"/>
      <c r="I114" s="2508"/>
    </row>
    <row r="115" ht="18.75" customHeight="1" spans="1:9">
      <c r="A115" s="2807" t="s">
        <v>967</v>
      </c>
      <c r="B115" s="2808"/>
      <c r="C115" s="2808"/>
      <c r="D115" s="2808"/>
      <c r="E115" s="2808"/>
      <c r="F115" s="2808"/>
      <c r="G115" s="2808"/>
      <c r="H115" s="2808"/>
      <c r="I115" s="2830"/>
    </row>
    <row r="116" ht="27" customHeight="1" spans="1:9">
      <c r="A116" s="2521" t="s">
        <v>968</v>
      </c>
      <c r="B116" s="2809" t="s">
        <v>969</v>
      </c>
      <c r="C116" s="2809" t="s">
        <v>970</v>
      </c>
      <c r="D116" s="2810" t="s">
        <v>971</v>
      </c>
      <c r="E116" s="2811"/>
      <c r="F116" s="2812" t="s">
        <v>972</v>
      </c>
      <c r="G116" s="2812"/>
      <c r="H116" s="2521" t="s">
        <v>973</v>
      </c>
      <c r="I116" s="2521"/>
    </row>
    <row r="117" ht="18.75" customHeight="1" spans="1:9">
      <c r="A117" s="2521"/>
      <c r="B117" s="2813"/>
      <c r="C117" s="2813"/>
      <c r="D117" s="2521" t="s">
        <v>974</v>
      </c>
      <c r="E117" s="2521" t="s">
        <v>803</v>
      </c>
      <c r="F117" s="2521" t="s">
        <v>974</v>
      </c>
      <c r="G117" s="2521" t="s">
        <v>803</v>
      </c>
      <c r="H117" s="2521" t="s">
        <v>974</v>
      </c>
      <c r="I117" s="2521" t="s">
        <v>803</v>
      </c>
    </row>
    <row r="118" ht="24.75" customHeight="1" spans="1:9">
      <c r="A118" s="2814" t="str">
        <f>项目基本情况!S2</f>
        <v>北京市房地产</v>
      </c>
      <c r="B118" s="2521">
        <f>M18</f>
        <v>211.57</v>
      </c>
      <c r="C118" s="2521">
        <f>M19</f>
        <v>0</v>
      </c>
      <c r="D118" s="2521" t="e">
        <f ca="1">ROUND(IF(D32="总价",C34,E118*B118/10000),0)</f>
        <v>#REF!</v>
      </c>
      <c r="E118" s="2521" t="e">
        <f ca="1">ROUND(IF(C33="自定义",IF(D32="楼面单价",C34,D118*10000/B118),I118-G118),0)</f>
        <v>#REF!</v>
      </c>
      <c r="F118" s="2521" t="e">
        <f ca="1">ROUND(IF(D32="总价",C35,G118*B118/10000),0)</f>
        <v>#REF!</v>
      </c>
      <c r="G118" s="2521" t="e">
        <f ca="1">ROUND(IF(D32="楼面单价",C35,F118*10000/B118),0)</f>
        <v>#REF!</v>
      </c>
      <c r="H118" s="2521" t="e">
        <f ca="1">ROUND(IF(D32="总价",C32,I118*B118/10000),0)</f>
        <v>#REF!</v>
      </c>
      <c r="I118" s="2521" t="e">
        <f ca="1">ROUND(IF(D32="楼面单价",C32,H118*10000/B118),0)</f>
        <v>#REF!</v>
      </c>
    </row>
    <row r="119" ht="18.75" customHeight="1" spans="1:9">
      <c r="A119" s="2521" t="s">
        <v>975</v>
      </c>
      <c r="B119" s="2521"/>
      <c r="C119" s="2521"/>
      <c r="D119" s="2815" t="e">
        <f ca="1">NUMBERSTRING(INT(D118*10000),2)&amp;"元整"</f>
        <v>#REF!</v>
      </c>
      <c r="E119" s="2816"/>
      <c r="F119" s="2815" t="e">
        <f ca="1">NUMBERSTRING(INT(F118*10000),2)&amp;"元整"</f>
        <v>#REF!</v>
      </c>
      <c r="G119" s="2816"/>
      <c r="H119" s="2815" t="e">
        <f ca="1">NUMBERSTRING(INT(H118*10000),2)&amp;"元整"</f>
        <v>#REF!</v>
      </c>
      <c r="I119" s="2816"/>
    </row>
    <row r="120" ht="18.75" customHeight="1" spans="1:19">
      <c r="A120" s="2817" t="str">
        <f>IF(项目基本情况!B9="房地产市场价值","",MID(E103,3,LEN(E103)-2))</f>
        <v/>
      </c>
      <c r="B120" s="2818"/>
      <c r="C120" s="2819"/>
      <c r="D120" s="2817">
        <f>H103</f>
        <v>0</v>
      </c>
      <c r="E120" s="2818"/>
      <c r="F120" s="2818"/>
      <c r="G120" s="2818"/>
      <c r="H120" s="2818"/>
      <c r="I120" s="2819"/>
      <c r="J120" s="2505"/>
      <c r="K120" s="2505" t="str">
        <f>IF(D120=0,"故，本次评估不存在"&amp;A120,"故，本次评估"&amp;A120&amp;"为人民币"&amp;D120&amp;"万元整。")</f>
        <v>故，本次评估不存在</v>
      </c>
      <c r="L120" s="2505"/>
      <c r="M120" s="2505"/>
      <c r="N120" s="2505"/>
      <c r="O120" s="2505"/>
      <c r="P120" s="2505"/>
      <c r="Q120" s="2505"/>
      <c r="R120" s="2505"/>
      <c r="S120" s="2505"/>
    </row>
    <row r="121" ht="18.75" customHeight="1" spans="1:27">
      <c r="A121" s="2815" t="s">
        <v>975</v>
      </c>
      <c r="B121" s="2820"/>
      <c r="C121" s="2816"/>
      <c r="D121" s="2815" t="str">
        <f>IF(D120=0,"零元整",NUMBERSTRING(INT(D120*10000),2)&amp;"元整")</f>
        <v>零元整</v>
      </c>
      <c r="E121" s="2820"/>
      <c r="F121" s="2820"/>
      <c r="G121" s="2820"/>
      <c r="H121" s="2820"/>
      <c r="I121" s="2816"/>
      <c r="AA121" s="993"/>
    </row>
    <row r="122" ht="18.75" customHeight="1" spans="1:27">
      <c r="A122" s="2801" t="str">
        <f>IF(项目基本情况!B9="房地产市场价值","",MID(E107,3,LEN(E107)-2))</f>
        <v/>
      </c>
      <c r="B122" s="2801"/>
      <c r="C122" s="2801"/>
      <c r="D122" s="2817" t="str">
        <f ca="1">H107</f>
        <v>——</v>
      </c>
      <c r="E122" s="2818"/>
      <c r="F122" s="2818"/>
      <c r="G122" s="2818"/>
      <c r="H122" s="2818"/>
      <c r="I122" s="2819"/>
      <c r="AA122" s="993"/>
    </row>
    <row r="123" ht="18.75" customHeight="1" spans="1:27">
      <c r="A123" s="2521" t="s">
        <v>975</v>
      </c>
      <c r="B123" s="2521"/>
      <c r="C123" s="2521"/>
      <c r="D123" s="2815" t="e">
        <f ca="1">NUMBERSTRING(INT(D122*10000),2)&amp;"元整"</f>
        <v>#VALUE!</v>
      </c>
      <c r="E123" s="2820"/>
      <c r="F123" s="2820"/>
      <c r="G123" s="2820"/>
      <c r="H123" s="2820"/>
      <c r="I123" s="2816"/>
      <c r="AA123" s="993"/>
    </row>
    <row r="124" ht="18.75" customHeight="1" spans="1:27">
      <c r="A124" s="2801" t="str">
        <f>IF(项目基本情况!B9="房地产市场价值","",MID(E109,3,LEN(E109)-2))</f>
        <v/>
      </c>
      <c r="B124" s="2801"/>
      <c r="C124" s="2801"/>
      <c r="D124" s="2817" t="str">
        <f ca="1">H109</f>
        <v>——</v>
      </c>
      <c r="E124" s="2818"/>
      <c r="F124" s="2818"/>
      <c r="G124" s="2818"/>
      <c r="H124" s="2818"/>
      <c r="I124" s="2819"/>
      <c r="AA124" s="993"/>
    </row>
    <row r="125" ht="18.75" customHeight="1" spans="1:27">
      <c r="A125" s="2521" t="s">
        <v>975</v>
      </c>
      <c r="B125" s="2521"/>
      <c r="C125" s="2521"/>
      <c r="D125" s="2815" t="e">
        <f ca="1">NUMBERSTRING(INT(D124*10000),2)&amp;"元整"</f>
        <v>#VALUE!</v>
      </c>
      <c r="E125" s="2820"/>
      <c r="F125" s="2820"/>
      <c r="G125" s="2820"/>
      <c r="H125" s="2820"/>
      <c r="I125" s="2816"/>
      <c r="AA125" s="993"/>
    </row>
    <row r="126" ht="18.75" customHeight="1" spans="1:27">
      <c r="A126" s="2801" t="str">
        <f>IF(项目基本情况!B9="房地产市场价值","",MID(E111,3,LEN(E111)-2))</f>
        <v/>
      </c>
      <c r="B126" s="2801"/>
      <c r="C126" s="2801"/>
      <c r="D126" s="2817" t="str">
        <f ca="1">H111</f>
        <v>——</v>
      </c>
      <c r="E126" s="2818"/>
      <c r="F126" s="2818"/>
      <c r="G126" s="2818"/>
      <c r="H126" s="2818"/>
      <c r="I126" s="2819"/>
      <c r="AA126" s="993"/>
    </row>
    <row r="127" ht="18.75" customHeight="1" spans="1:27">
      <c r="A127" s="2521" t="s">
        <v>975</v>
      </c>
      <c r="B127" s="2521"/>
      <c r="C127" s="2521"/>
      <c r="D127" s="2815" t="e">
        <f ca="1">NUMBERSTRING(INT(D126*10000),2)&amp;"元整"</f>
        <v>#VALUE!</v>
      </c>
      <c r="E127" s="2820"/>
      <c r="F127" s="2820"/>
      <c r="G127" s="2820"/>
      <c r="H127" s="2820"/>
      <c r="I127" s="2816"/>
      <c r="AA127" s="993"/>
    </row>
    <row r="128" customHeight="1" spans="1:27">
      <c r="A128" s="2147" t="s">
        <v>113</v>
      </c>
      <c r="B128" s="2147"/>
      <c r="C128" s="2147"/>
      <c r="D128" s="2147"/>
      <c r="E128" s="2147"/>
      <c r="F128" s="2147"/>
      <c r="G128" s="2147"/>
      <c r="H128" s="2147"/>
      <c r="I128" s="2147"/>
      <c r="AA128" s="993"/>
    </row>
    <row r="129" customHeight="1" spans="1:27">
      <c r="A129" s="2832" t="s">
        <v>976</v>
      </c>
      <c r="B129" s="2833"/>
      <c r="C129" s="2834" t="s">
        <v>977</v>
      </c>
      <c r="D129" s="2835"/>
      <c r="E129" s="2835"/>
      <c r="F129" s="2835"/>
      <c r="G129" s="2835"/>
      <c r="H129" s="2836"/>
      <c r="I129" s="2851"/>
      <c r="AA129" s="993"/>
    </row>
    <row r="130" customHeight="1" spans="1:27">
      <c r="A130" s="2837">
        <v>1</v>
      </c>
      <c r="B130" s="2838"/>
      <c r="C130" s="2838"/>
      <c r="D130" s="2839"/>
      <c r="E130" s="2839"/>
      <c r="F130" s="2839"/>
      <c r="G130" s="2839"/>
      <c r="H130" s="2840"/>
      <c r="I130" s="2852"/>
      <c r="AA130" s="993"/>
    </row>
    <row r="131" customHeight="1" spans="1:27">
      <c r="A131" s="2837">
        <v>2</v>
      </c>
      <c r="B131" s="2838"/>
      <c r="C131" s="2838"/>
      <c r="D131" s="2839"/>
      <c r="E131" s="2839"/>
      <c r="F131" s="2839"/>
      <c r="G131" s="2839"/>
      <c r="H131" s="2840"/>
      <c r="I131" s="2852"/>
      <c r="AA131" s="993"/>
    </row>
    <row r="132" customHeight="1" spans="1:27">
      <c r="A132" s="2837">
        <v>3</v>
      </c>
      <c r="B132" s="2838"/>
      <c r="C132" s="2838"/>
      <c r="D132" s="2839"/>
      <c r="E132" s="2839"/>
      <c r="F132" s="2839"/>
      <c r="G132" s="2839"/>
      <c r="H132" s="2840"/>
      <c r="I132" s="2852"/>
      <c r="AA132" s="993"/>
    </row>
    <row r="133" customHeight="1" spans="1:9">
      <c r="A133" s="2841"/>
      <c r="B133" s="2842"/>
      <c r="C133" s="2842"/>
      <c r="D133" s="2843"/>
      <c r="E133" s="2843"/>
      <c r="F133" s="2843"/>
      <c r="G133" s="2843"/>
      <c r="H133" s="2844"/>
      <c r="I133" s="2853"/>
    </row>
    <row r="134" customHeight="1" spans="1:9">
      <c r="A134" s="2838"/>
      <c r="B134" s="2838"/>
      <c r="C134" s="2838"/>
      <c r="D134" s="2839"/>
      <c r="E134" s="2839"/>
      <c r="F134" s="2839"/>
      <c r="G134" s="2839"/>
      <c r="H134" s="2840"/>
      <c r="I134" s="993"/>
    </row>
    <row r="135" customHeight="1" spans="1:9">
      <c r="A135" s="993"/>
      <c r="B135" s="993"/>
      <c r="C135" s="993"/>
      <c r="D135" s="993"/>
      <c r="E135" s="993"/>
      <c r="F135" s="2845" t="s">
        <v>978</v>
      </c>
      <c r="G135" s="2846"/>
      <c r="H135" s="2846"/>
      <c r="I135" s="2854" t="s">
        <v>979</v>
      </c>
    </row>
    <row r="136" customHeight="1" spans="1:9">
      <c r="A136" s="993"/>
      <c r="B136" s="2847" t="s">
        <v>980</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46"/>
      <c r="C138" s="2846"/>
      <c r="D138" s="2846"/>
      <c r="E138" s="2846"/>
      <c r="F138" s="2846"/>
      <c r="G138" s="2846"/>
      <c r="H138" s="2846"/>
      <c r="I138" s="2854" t="s">
        <v>981</v>
      </c>
    </row>
    <row r="139" customHeight="1" spans="1:9">
      <c r="A139" s="993"/>
      <c r="B139" s="2847" t="s">
        <v>982</v>
      </c>
      <c r="C139" s="993"/>
      <c r="D139" s="993"/>
      <c r="E139" s="993"/>
      <c r="F139" s="993"/>
      <c r="G139" s="993"/>
      <c r="H139" s="993"/>
      <c r="I139" s="993"/>
    </row>
    <row r="140" customHeight="1" spans="1:9">
      <c r="A140" s="993"/>
      <c r="B140" s="2847"/>
      <c r="C140" s="993"/>
      <c r="D140" s="993"/>
      <c r="E140" s="993"/>
      <c r="F140" s="993"/>
      <c r="G140" s="993"/>
      <c r="H140" s="993"/>
      <c r="I140" s="993"/>
    </row>
    <row r="141" customHeight="1" spans="1:9">
      <c r="A141" s="993"/>
      <c r="B141" s="2846"/>
      <c r="C141" s="2846"/>
      <c r="D141" s="2846"/>
      <c r="E141" s="2846"/>
      <c r="F141" s="2846"/>
      <c r="G141" s="2846"/>
      <c r="H141" s="2846"/>
      <c r="I141" s="2854" t="s">
        <v>981</v>
      </c>
    </row>
    <row r="142" customHeight="1" spans="1:9">
      <c r="A142" s="993"/>
      <c r="B142" s="2847"/>
      <c r="C142" s="2848"/>
      <c r="D142" s="2849"/>
      <c r="E142" s="2849"/>
      <c r="F142" s="2850"/>
      <c r="G142" s="993"/>
      <c r="H142" s="993"/>
      <c r="I142" s="993"/>
    </row>
    <row r="143" s="990" customFormat="1" customHeight="1" spans="1:35">
      <c r="A143" s="993"/>
      <c r="B143" s="2847"/>
      <c r="C143" s="2848"/>
      <c r="D143" s="2849"/>
      <c r="E143" s="2849"/>
      <c r="F143" s="2850"/>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505" customFormat="1" customHeight="1" spans="10:26">
      <c r="J409" s="993"/>
      <c r="K409" s="993"/>
      <c r="L409" s="993"/>
      <c r="M409" s="993"/>
      <c r="N409" s="993"/>
      <c r="O409" s="993"/>
      <c r="P409" s="993"/>
      <c r="Q409" s="993"/>
      <c r="R409" s="993"/>
      <c r="S409" s="993"/>
      <c r="T409" s="993"/>
      <c r="U409" s="993"/>
      <c r="V409" s="993"/>
      <c r="W409" s="993"/>
      <c r="X409" s="993"/>
      <c r="Y409" s="993"/>
      <c r="Z409" s="993"/>
    </row>
    <row r="410" s="2505" customFormat="1" customHeight="1" spans="10:26">
      <c r="J410" s="993"/>
      <c r="K410" s="993"/>
      <c r="L410" s="993"/>
      <c r="M410" s="993"/>
      <c r="N410" s="993"/>
      <c r="O410" s="993"/>
      <c r="P410" s="993"/>
      <c r="Q410" s="993"/>
      <c r="R410" s="993"/>
      <c r="S410" s="993"/>
      <c r="T410" s="993"/>
      <c r="U410" s="993"/>
      <c r="V410" s="993"/>
      <c r="W410" s="993"/>
      <c r="X410" s="993"/>
      <c r="Y410" s="993"/>
      <c r="Z410" s="993"/>
    </row>
    <row r="411" s="2505" customFormat="1" customHeight="1" spans="10:26">
      <c r="J411" s="993"/>
      <c r="K411" s="993"/>
      <c r="L411" s="993"/>
      <c r="M411" s="993"/>
      <c r="N411" s="993"/>
      <c r="O411" s="993"/>
      <c r="P411" s="993"/>
      <c r="Q411" s="993"/>
      <c r="R411" s="993"/>
      <c r="S411" s="993"/>
      <c r="T411" s="993"/>
      <c r="U411" s="993"/>
      <c r="V411" s="993"/>
      <c r="W411" s="993"/>
      <c r="X411" s="993"/>
      <c r="Y411" s="993"/>
      <c r="Z411" s="993"/>
    </row>
    <row r="412" s="2505" customFormat="1" customHeight="1" spans="10:26">
      <c r="J412" s="993"/>
      <c r="K412" s="993"/>
      <c r="L412" s="993"/>
      <c r="M412" s="993"/>
      <c r="N412" s="993"/>
      <c r="O412" s="993"/>
      <c r="P412" s="993"/>
      <c r="Q412" s="993"/>
      <c r="R412" s="993"/>
      <c r="S412" s="993"/>
      <c r="T412" s="993"/>
      <c r="U412" s="993"/>
      <c r="V412" s="993"/>
      <c r="W412" s="993"/>
      <c r="X412" s="993"/>
      <c r="Y412" s="993"/>
      <c r="Z412" s="993"/>
    </row>
    <row r="413" s="2505" customFormat="1" customHeight="1" spans="10:26">
      <c r="J413" s="993"/>
      <c r="K413" s="993"/>
      <c r="L413" s="993"/>
      <c r="M413" s="993"/>
      <c r="N413" s="993"/>
      <c r="O413" s="993"/>
      <c r="P413" s="993"/>
      <c r="Q413" s="993"/>
      <c r="R413" s="993"/>
      <c r="S413" s="993"/>
      <c r="T413" s="993"/>
      <c r="U413" s="993"/>
      <c r="V413" s="993"/>
      <c r="W413" s="993"/>
      <c r="X413" s="993"/>
      <c r="Y413" s="993"/>
      <c r="Z413" s="993"/>
    </row>
    <row r="414" s="2505" customFormat="1" customHeight="1" spans="10:26">
      <c r="J414" s="993"/>
      <c r="K414" s="993"/>
      <c r="L414" s="993"/>
      <c r="M414" s="993"/>
      <c r="N414" s="993"/>
      <c r="O414" s="993"/>
      <c r="P414" s="993"/>
      <c r="Q414" s="993"/>
      <c r="R414" s="993"/>
      <c r="S414" s="993"/>
      <c r="T414" s="993"/>
      <c r="U414" s="993"/>
      <c r="V414" s="993"/>
      <c r="W414" s="993"/>
      <c r="X414" s="993"/>
      <c r="Y414" s="993"/>
      <c r="Z414" s="993"/>
    </row>
    <row r="415" s="2505" customFormat="1" customHeight="1" spans="10:26">
      <c r="J415" s="993"/>
      <c r="K415" s="993"/>
      <c r="L415" s="993"/>
      <c r="M415" s="993"/>
      <c r="N415" s="993"/>
      <c r="O415" s="993"/>
      <c r="P415" s="993"/>
      <c r="Q415" s="993"/>
      <c r="R415" s="993"/>
      <c r="S415" s="993"/>
      <c r="T415" s="993"/>
      <c r="U415" s="993"/>
      <c r="V415" s="993"/>
      <c r="W415" s="993"/>
      <c r="X415" s="993"/>
      <c r="Y415" s="993"/>
      <c r="Z415" s="993"/>
    </row>
    <row r="416" s="2505" customFormat="1" customHeight="1" spans="10:26">
      <c r="J416" s="993"/>
      <c r="K416" s="993"/>
      <c r="L416" s="993"/>
      <c r="M416" s="993"/>
      <c r="N416" s="993"/>
      <c r="O416" s="993"/>
      <c r="P416" s="993"/>
      <c r="Q416" s="993"/>
      <c r="R416" s="993"/>
      <c r="S416" s="993"/>
      <c r="T416" s="993"/>
      <c r="U416" s="993"/>
      <c r="V416" s="993"/>
      <c r="W416" s="993"/>
      <c r="X416" s="993"/>
      <c r="Y416" s="993"/>
      <c r="Z416" s="993"/>
    </row>
    <row r="417" s="2505" customFormat="1" customHeight="1" spans="10:26">
      <c r="J417" s="993"/>
      <c r="K417" s="993"/>
      <c r="L417" s="993"/>
      <c r="M417" s="993"/>
      <c r="N417" s="993"/>
      <c r="O417" s="993"/>
      <c r="P417" s="993"/>
      <c r="Q417" s="993"/>
      <c r="R417" s="993"/>
      <c r="S417" s="993"/>
      <c r="T417" s="993"/>
      <c r="U417" s="993"/>
      <c r="V417" s="993"/>
      <c r="W417" s="993"/>
      <c r="X417" s="993"/>
      <c r="Y417" s="993"/>
      <c r="Z417" s="993"/>
    </row>
    <row r="418" s="2505" customFormat="1" customHeight="1" spans="10:26">
      <c r="J418" s="993"/>
      <c r="K418" s="993"/>
      <c r="L418" s="993"/>
      <c r="M418" s="993"/>
      <c r="N418" s="993"/>
      <c r="O418" s="993"/>
      <c r="P418" s="993"/>
      <c r="Q418" s="993"/>
      <c r="R418" s="993"/>
      <c r="S418" s="993"/>
      <c r="T418" s="993"/>
      <c r="U418" s="993"/>
      <c r="V418" s="993"/>
      <c r="W418" s="993"/>
      <c r="X418" s="993"/>
      <c r="Y418" s="993"/>
      <c r="Z418" s="993"/>
    </row>
    <row r="419" s="2505" customFormat="1" customHeight="1" spans="10:26">
      <c r="J419" s="993"/>
      <c r="K419" s="993"/>
      <c r="L419" s="993"/>
      <c r="M419" s="993"/>
      <c r="N419" s="993"/>
      <c r="O419" s="993"/>
      <c r="P419" s="993"/>
      <c r="Q419" s="993"/>
      <c r="R419" s="993"/>
      <c r="S419" s="993"/>
      <c r="T419" s="993"/>
      <c r="U419" s="993"/>
      <c r="V419" s="993"/>
      <c r="W419" s="993"/>
      <c r="X419" s="993"/>
      <c r="Y419" s="993"/>
      <c r="Z419" s="993"/>
    </row>
    <row r="420" s="2505" customFormat="1" customHeight="1" spans="10:26">
      <c r="J420" s="993"/>
      <c r="K420" s="993"/>
      <c r="L420" s="993"/>
      <c r="M420" s="993"/>
      <c r="N420" s="993"/>
      <c r="O420" s="993"/>
      <c r="P420" s="993"/>
      <c r="Q420" s="993"/>
      <c r="R420" s="993"/>
      <c r="S420" s="993"/>
      <c r="T420" s="993"/>
      <c r="U420" s="993"/>
      <c r="V420" s="993"/>
      <c r="W420" s="993"/>
      <c r="X420" s="993"/>
      <c r="Y420" s="993"/>
      <c r="Z420" s="993"/>
    </row>
    <row r="421" s="2505" customFormat="1" customHeight="1" spans="10:26">
      <c r="J421" s="993"/>
      <c r="K421" s="993"/>
      <c r="L421" s="993"/>
      <c r="M421" s="993"/>
      <c r="N421" s="993"/>
      <c r="O421" s="993"/>
      <c r="P421" s="993"/>
      <c r="Q421" s="993"/>
      <c r="R421" s="993"/>
      <c r="S421" s="993"/>
      <c r="T421" s="993"/>
      <c r="U421" s="993"/>
      <c r="V421" s="993"/>
      <c r="W421" s="993"/>
      <c r="X421" s="993"/>
      <c r="Y421" s="993"/>
      <c r="Z421" s="993"/>
    </row>
    <row r="422" s="2505" customFormat="1" customHeight="1" spans="10:26">
      <c r="J422" s="993"/>
      <c r="K422" s="993"/>
      <c r="L422" s="993"/>
      <c r="M422" s="993"/>
      <c r="N422" s="993"/>
      <c r="O422" s="993"/>
      <c r="P422" s="993"/>
      <c r="Q422" s="993"/>
      <c r="R422" s="993"/>
      <c r="S422" s="993"/>
      <c r="T422" s="993"/>
      <c r="U422" s="993"/>
      <c r="V422" s="993"/>
      <c r="W422" s="993"/>
      <c r="X422" s="993"/>
      <c r="Y422" s="993"/>
      <c r="Z422" s="993"/>
    </row>
    <row r="423" s="2505" customFormat="1" customHeight="1" spans="10:26">
      <c r="J423" s="993"/>
      <c r="K423" s="993"/>
      <c r="L423" s="993"/>
      <c r="M423" s="993"/>
      <c r="N423" s="993"/>
      <c r="O423" s="993"/>
      <c r="P423" s="993"/>
      <c r="Q423" s="993"/>
      <c r="R423" s="993"/>
      <c r="S423" s="993"/>
      <c r="T423" s="993"/>
      <c r="U423" s="993"/>
      <c r="V423" s="993"/>
      <c r="W423" s="993"/>
      <c r="X423" s="993"/>
      <c r="Y423" s="993"/>
      <c r="Z423" s="993"/>
    </row>
    <row r="424" s="2505" customFormat="1" customHeight="1" spans="10:26">
      <c r="J424" s="993"/>
      <c r="K424" s="993"/>
      <c r="L424" s="993"/>
      <c r="M424" s="993"/>
      <c r="N424" s="993"/>
      <c r="O424" s="993"/>
      <c r="P424" s="993"/>
      <c r="Q424" s="993"/>
      <c r="R424" s="993"/>
      <c r="S424" s="993"/>
      <c r="T424" s="993"/>
      <c r="U424" s="993"/>
      <c r="V424" s="993"/>
      <c r="W424" s="993"/>
      <c r="X424" s="993"/>
      <c r="Y424" s="993"/>
      <c r="Z424" s="993"/>
    </row>
    <row r="425" s="2505" customFormat="1" customHeight="1" spans="10:26">
      <c r="J425" s="993"/>
      <c r="K425" s="993"/>
      <c r="L425" s="993"/>
      <c r="M425" s="993"/>
      <c r="N425" s="993"/>
      <c r="O425" s="993"/>
      <c r="P425" s="993"/>
      <c r="Q425" s="993"/>
      <c r="R425" s="993"/>
      <c r="S425" s="993"/>
      <c r="T425" s="993"/>
      <c r="U425" s="993"/>
      <c r="V425" s="993"/>
      <c r="W425" s="993"/>
      <c r="X425" s="993"/>
      <c r="Y425" s="993"/>
      <c r="Z425" s="993"/>
    </row>
    <row r="426" s="2505" customFormat="1" customHeight="1" spans="10:26">
      <c r="J426" s="993"/>
      <c r="K426" s="993"/>
      <c r="L426" s="993"/>
      <c r="M426" s="993"/>
      <c r="N426" s="993"/>
      <c r="O426" s="993"/>
      <c r="P426" s="993"/>
      <c r="Q426" s="993"/>
      <c r="R426" s="993"/>
      <c r="S426" s="993"/>
      <c r="T426" s="993"/>
      <c r="U426" s="993"/>
      <c r="V426" s="993"/>
      <c r="W426" s="993"/>
      <c r="X426" s="993"/>
      <c r="Y426" s="993"/>
      <c r="Z426" s="993"/>
    </row>
    <row r="427" s="2505" customFormat="1" customHeight="1" spans="10:26">
      <c r="J427" s="993"/>
      <c r="K427" s="993"/>
      <c r="L427" s="993"/>
      <c r="M427" s="993"/>
      <c r="N427" s="993"/>
      <c r="O427" s="993"/>
      <c r="P427" s="993"/>
      <c r="Q427" s="993"/>
      <c r="R427" s="993"/>
      <c r="S427" s="993"/>
      <c r="T427" s="993"/>
      <c r="U427" s="993"/>
      <c r="V427" s="993"/>
      <c r="W427" s="993"/>
      <c r="X427" s="993"/>
      <c r="Y427" s="993"/>
      <c r="Z427" s="993"/>
    </row>
    <row r="428" s="2505" customFormat="1" customHeight="1" spans="10:26">
      <c r="J428" s="993"/>
      <c r="K428" s="993"/>
      <c r="L428" s="993"/>
      <c r="M428" s="993"/>
      <c r="N428" s="993"/>
      <c r="O428" s="993"/>
      <c r="P428" s="993"/>
      <c r="Q428" s="993"/>
      <c r="R428" s="993"/>
      <c r="S428" s="993"/>
      <c r="T428" s="993"/>
      <c r="U428" s="993"/>
      <c r="V428" s="993"/>
      <c r="W428" s="993"/>
      <c r="X428" s="993"/>
      <c r="Y428" s="993"/>
      <c r="Z428" s="993"/>
    </row>
    <row r="429" s="2505" customFormat="1" customHeight="1" spans="10:26">
      <c r="J429" s="993"/>
      <c r="K429" s="993"/>
      <c r="L429" s="993"/>
      <c r="M429" s="993"/>
      <c r="N429" s="993"/>
      <c r="O429" s="993"/>
      <c r="P429" s="993"/>
      <c r="Q429" s="993"/>
      <c r="R429" s="993"/>
      <c r="S429" s="993"/>
      <c r="T429" s="993"/>
      <c r="U429" s="993"/>
      <c r="V429" s="993"/>
      <c r="W429" s="993"/>
      <c r="X429" s="993"/>
      <c r="Y429" s="993"/>
      <c r="Z429" s="993"/>
    </row>
    <row r="430" s="2505" customFormat="1" customHeight="1" spans="10:26">
      <c r="J430" s="993"/>
      <c r="K430" s="993"/>
      <c r="L430" s="993"/>
      <c r="M430" s="993"/>
      <c r="N430" s="993"/>
      <c r="O430" s="993"/>
      <c r="P430" s="993"/>
      <c r="Q430" s="993"/>
      <c r="R430" s="993"/>
      <c r="S430" s="993"/>
      <c r="T430" s="993"/>
      <c r="U430" s="993"/>
      <c r="V430" s="993"/>
      <c r="W430" s="993"/>
      <c r="X430" s="993"/>
      <c r="Y430" s="993"/>
      <c r="Z430" s="993"/>
    </row>
    <row r="431" s="2505" customFormat="1" customHeight="1" spans="10:26">
      <c r="J431" s="993"/>
      <c r="K431" s="993"/>
      <c r="L431" s="993"/>
      <c r="M431" s="993"/>
      <c r="N431" s="993"/>
      <c r="O431" s="993"/>
      <c r="P431" s="993"/>
      <c r="Q431" s="993"/>
      <c r="R431" s="993"/>
      <c r="S431" s="993"/>
      <c r="T431" s="993"/>
      <c r="U431" s="993"/>
      <c r="V431" s="993"/>
      <c r="W431" s="993"/>
      <c r="X431" s="993"/>
      <c r="Y431" s="993"/>
      <c r="Z431" s="993"/>
    </row>
    <row r="432" s="2505" customFormat="1" customHeight="1" spans="10:26">
      <c r="J432" s="993"/>
      <c r="K432" s="993"/>
      <c r="L432" s="993"/>
      <c r="M432" s="993"/>
      <c r="N432" s="993"/>
      <c r="O432" s="993"/>
      <c r="P432" s="993"/>
      <c r="Q432" s="993"/>
      <c r="R432" s="993"/>
      <c r="S432" s="993"/>
      <c r="T432" s="993"/>
      <c r="U432" s="993"/>
      <c r="V432" s="993"/>
      <c r="W432" s="993"/>
      <c r="X432" s="993"/>
      <c r="Y432" s="993"/>
      <c r="Z432" s="993"/>
    </row>
    <row r="433" s="2505" customFormat="1" customHeight="1" spans="10:26">
      <c r="J433" s="993"/>
      <c r="K433" s="993"/>
      <c r="L433" s="993"/>
      <c r="M433" s="993"/>
      <c r="N433" s="993"/>
      <c r="O433" s="993"/>
      <c r="P433" s="993"/>
      <c r="Q433" s="993"/>
      <c r="R433" s="993"/>
      <c r="S433" s="993"/>
      <c r="T433" s="993"/>
      <c r="U433" s="993"/>
      <c r="V433" s="993"/>
      <c r="W433" s="993"/>
      <c r="X433" s="993"/>
      <c r="Y433" s="993"/>
      <c r="Z433" s="993"/>
    </row>
    <row r="434" s="2505" customFormat="1" customHeight="1" spans="10:26">
      <c r="J434" s="993"/>
      <c r="K434" s="993"/>
      <c r="L434" s="993"/>
      <c r="M434" s="993"/>
      <c r="N434" s="993"/>
      <c r="O434" s="993"/>
      <c r="P434" s="993"/>
      <c r="Q434" s="993"/>
      <c r="R434" s="993"/>
      <c r="S434" s="993"/>
      <c r="T434" s="993"/>
      <c r="U434" s="993"/>
      <c r="V434" s="993"/>
      <c r="W434" s="993"/>
      <c r="X434" s="993"/>
      <c r="Y434" s="993"/>
      <c r="Z434" s="993"/>
    </row>
    <row r="435" s="2505" customFormat="1" customHeight="1" spans="10:26">
      <c r="J435" s="993"/>
      <c r="K435" s="993"/>
      <c r="L435" s="993"/>
      <c r="M435" s="993"/>
      <c r="N435" s="993"/>
      <c r="O435" s="993"/>
      <c r="P435" s="993"/>
      <c r="Q435" s="993"/>
      <c r="R435" s="993"/>
      <c r="S435" s="993"/>
      <c r="T435" s="993"/>
      <c r="U435" s="993"/>
      <c r="V435" s="993"/>
      <c r="W435" s="993"/>
      <c r="X435" s="993"/>
      <c r="Y435" s="993"/>
      <c r="Z435" s="993"/>
    </row>
    <row r="436" s="2505" customFormat="1" customHeight="1" spans="10:26">
      <c r="J436" s="993"/>
      <c r="K436" s="993"/>
      <c r="L436" s="993"/>
      <c r="M436" s="993"/>
      <c r="N436" s="993"/>
      <c r="O436" s="993"/>
      <c r="P436" s="993"/>
      <c r="Q436" s="993"/>
      <c r="R436" s="993"/>
      <c r="S436" s="993"/>
      <c r="T436" s="993"/>
      <c r="U436" s="993"/>
      <c r="V436" s="993"/>
      <c r="W436" s="993"/>
      <c r="X436" s="993"/>
      <c r="Y436" s="993"/>
      <c r="Z436" s="993"/>
    </row>
    <row r="437" s="2505" customFormat="1" customHeight="1" spans="10:26">
      <c r="J437" s="993"/>
      <c r="K437" s="993"/>
      <c r="L437" s="993"/>
      <c r="M437" s="993"/>
      <c r="N437" s="993"/>
      <c r="O437" s="993"/>
      <c r="P437" s="993"/>
      <c r="Q437" s="993"/>
      <c r="R437" s="993"/>
      <c r="S437" s="993"/>
      <c r="T437" s="993"/>
      <c r="U437" s="993"/>
      <c r="V437" s="993"/>
      <c r="W437" s="993"/>
      <c r="X437" s="993"/>
      <c r="Y437" s="993"/>
      <c r="Z437" s="993"/>
    </row>
    <row r="438" s="2505" customFormat="1" customHeight="1" spans="10:26">
      <c r="J438" s="993"/>
      <c r="K438" s="993"/>
      <c r="L438" s="993"/>
      <c r="M438" s="993"/>
      <c r="N438" s="993"/>
      <c r="O438" s="993"/>
      <c r="P438" s="993"/>
      <c r="Q438" s="993"/>
      <c r="R438" s="993"/>
      <c r="S438" s="993"/>
      <c r="T438" s="993"/>
      <c r="U438" s="993"/>
      <c r="V438" s="993"/>
      <c r="W438" s="993"/>
      <c r="X438" s="993"/>
      <c r="Y438" s="993"/>
      <c r="Z438" s="993"/>
    </row>
    <row r="439" s="2505" customFormat="1" customHeight="1" spans="10:26">
      <c r="J439" s="993"/>
      <c r="K439" s="993"/>
      <c r="L439" s="993"/>
      <c r="M439" s="993"/>
      <c r="N439" s="993"/>
      <c r="O439" s="993"/>
      <c r="P439" s="993"/>
      <c r="Q439" s="993"/>
      <c r="R439" s="993"/>
      <c r="S439" s="993"/>
      <c r="T439" s="993"/>
      <c r="U439" s="993"/>
      <c r="V439" s="993"/>
      <c r="W439" s="993"/>
      <c r="X439" s="993"/>
      <c r="Y439" s="993"/>
      <c r="Z439" s="993"/>
    </row>
    <row r="440" s="2505" customFormat="1" customHeight="1" spans="10:26">
      <c r="J440" s="993"/>
      <c r="K440" s="993"/>
      <c r="L440" s="993"/>
      <c r="M440" s="993"/>
      <c r="N440" s="993"/>
      <c r="O440" s="993"/>
      <c r="P440" s="993"/>
      <c r="Q440" s="993"/>
      <c r="R440" s="993"/>
      <c r="S440" s="993"/>
      <c r="T440" s="993"/>
      <c r="U440" s="993"/>
      <c r="V440" s="993"/>
      <c r="W440" s="993"/>
      <c r="X440" s="993"/>
      <c r="Y440" s="993"/>
      <c r="Z440" s="993"/>
    </row>
    <row r="441" s="2505" customFormat="1" customHeight="1" spans="10:26">
      <c r="J441" s="993"/>
      <c r="K441" s="993"/>
      <c r="L441" s="993"/>
      <c r="M441" s="993"/>
      <c r="N441" s="993"/>
      <c r="O441" s="993"/>
      <c r="P441" s="993"/>
      <c r="Q441" s="993"/>
      <c r="R441" s="993"/>
      <c r="S441" s="993"/>
      <c r="T441" s="993"/>
      <c r="U441" s="993"/>
      <c r="V441" s="993"/>
      <c r="W441" s="993"/>
      <c r="X441" s="993"/>
      <c r="Y441" s="993"/>
      <c r="Z441" s="993"/>
    </row>
    <row r="442" s="2505" customFormat="1" customHeight="1" spans="10:26">
      <c r="J442" s="993"/>
      <c r="K442" s="993"/>
      <c r="L442" s="993"/>
      <c r="M442" s="993"/>
      <c r="N442" s="993"/>
      <c r="O442" s="993"/>
      <c r="P442" s="993"/>
      <c r="Q442" s="993"/>
      <c r="R442" s="993"/>
      <c r="S442" s="993"/>
      <c r="T442" s="993"/>
      <c r="U442" s="993"/>
      <c r="V442" s="993"/>
      <c r="W442" s="993"/>
      <c r="X442" s="993"/>
      <c r="Y442" s="993"/>
      <c r="Z442" s="993"/>
    </row>
    <row r="443" s="2505" customFormat="1" customHeight="1" spans="10:26">
      <c r="J443" s="993"/>
      <c r="K443" s="993"/>
      <c r="L443" s="993"/>
      <c r="M443" s="993"/>
      <c r="N443" s="993"/>
      <c r="O443" s="993"/>
      <c r="P443" s="993"/>
      <c r="Q443" s="993"/>
      <c r="R443" s="993"/>
      <c r="S443" s="993"/>
      <c r="T443" s="993"/>
      <c r="U443" s="993"/>
      <c r="V443" s="993"/>
      <c r="W443" s="993"/>
      <c r="X443" s="993"/>
      <c r="Y443" s="993"/>
      <c r="Z443" s="993"/>
    </row>
    <row r="444" s="2505" customFormat="1" customHeight="1" spans="10:26">
      <c r="J444" s="993"/>
      <c r="K444" s="993"/>
      <c r="L444" s="993"/>
      <c r="M444" s="993"/>
      <c r="N444" s="993"/>
      <c r="O444" s="993"/>
      <c r="P444" s="993"/>
      <c r="Q444" s="993"/>
      <c r="R444" s="993"/>
      <c r="S444" s="993"/>
      <c r="T444" s="993"/>
      <c r="U444" s="993"/>
      <c r="V444" s="993"/>
      <c r="W444" s="993"/>
      <c r="X444" s="993"/>
      <c r="Y444" s="993"/>
      <c r="Z444" s="993"/>
    </row>
    <row r="445" s="2505" customFormat="1" customHeight="1" spans="10:26">
      <c r="J445" s="993"/>
      <c r="K445" s="993"/>
      <c r="L445" s="993"/>
      <c r="M445" s="993"/>
      <c r="N445" s="993"/>
      <c r="O445" s="993"/>
      <c r="P445" s="993"/>
      <c r="Q445" s="993"/>
      <c r="R445" s="993"/>
      <c r="S445" s="993"/>
      <c r="T445" s="993"/>
      <c r="U445" s="993"/>
      <c r="V445" s="993"/>
      <c r="W445" s="993"/>
      <c r="X445" s="993"/>
      <c r="Y445" s="993"/>
      <c r="Z445" s="993"/>
    </row>
    <row r="446" s="2505" customFormat="1" customHeight="1" spans="10:26">
      <c r="J446" s="993"/>
      <c r="K446" s="993"/>
      <c r="L446" s="993"/>
      <c r="M446" s="993"/>
      <c r="N446" s="993"/>
      <c r="O446" s="993"/>
      <c r="P446" s="993"/>
      <c r="Q446" s="993"/>
      <c r="R446" s="993"/>
      <c r="S446" s="993"/>
      <c r="T446" s="993"/>
      <c r="U446" s="993"/>
      <c r="V446" s="993"/>
      <c r="W446" s="993"/>
      <c r="X446" s="993"/>
      <c r="Y446" s="993"/>
      <c r="Z446" s="993"/>
    </row>
    <row r="447" s="2505" customFormat="1" customHeight="1" spans="10:26">
      <c r="J447" s="993"/>
      <c r="K447" s="993"/>
      <c r="L447" s="993"/>
      <c r="M447" s="993"/>
      <c r="N447" s="993"/>
      <c r="O447" s="993"/>
      <c r="P447" s="993"/>
      <c r="Q447" s="993"/>
      <c r="R447" s="993"/>
      <c r="S447" s="993"/>
      <c r="T447" s="993"/>
      <c r="U447" s="993"/>
      <c r="V447" s="993"/>
      <c r="W447" s="993"/>
      <c r="X447" s="993"/>
      <c r="Y447" s="993"/>
      <c r="Z447" s="993"/>
    </row>
    <row r="448" s="2505" customFormat="1" customHeight="1" spans="10:26">
      <c r="J448" s="993"/>
      <c r="K448" s="993"/>
      <c r="L448" s="993"/>
      <c r="M448" s="993"/>
      <c r="N448" s="993"/>
      <c r="O448" s="993"/>
      <c r="P448" s="993"/>
      <c r="Q448" s="993"/>
      <c r="R448" s="993"/>
      <c r="S448" s="993"/>
      <c r="T448" s="993"/>
      <c r="U448" s="993"/>
      <c r="V448" s="993"/>
      <c r="W448" s="993"/>
      <c r="X448" s="993"/>
      <c r="Y448" s="993"/>
      <c r="Z448" s="993"/>
    </row>
    <row r="449" s="2505" customFormat="1" customHeight="1" spans="10:26">
      <c r="J449" s="993"/>
      <c r="K449" s="993"/>
      <c r="L449" s="993"/>
      <c r="M449" s="993"/>
      <c r="N449" s="993"/>
      <c r="O449" s="993"/>
      <c r="P449" s="993"/>
      <c r="Q449" s="993"/>
      <c r="R449" s="993"/>
      <c r="S449" s="993"/>
      <c r="T449" s="993"/>
      <c r="U449" s="993"/>
      <c r="V449" s="993"/>
      <c r="W449" s="993"/>
      <c r="X449" s="993"/>
      <c r="Y449" s="993"/>
      <c r="Z449" s="993"/>
    </row>
    <row r="450" s="2505" customFormat="1" customHeight="1" spans="10:26">
      <c r="J450" s="993"/>
      <c r="K450" s="993"/>
      <c r="L450" s="993"/>
      <c r="M450" s="993"/>
      <c r="N450" s="993"/>
      <c r="O450" s="993"/>
      <c r="P450" s="993"/>
      <c r="Q450" s="993"/>
      <c r="R450" s="993"/>
      <c r="S450" s="993"/>
      <c r="T450" s="993"/>
      <c r="U450" s="993"/>
      <c r="V450" s="993"/>
      <c r="W450" s="993"/>
      <c r="X450" s="993"/>
      <c r="Y450" s="993"/>
      <c r="Z450" s="993"/>
    </row>
    <row r="451" s="2505" customFormat="1" customHeight="1" spans="10:26">
      <c r="J451" s="993"/>
      <c r="K451" s="993"/>
      <c r="L451" s="993"/>
      <c r="M451" s="993"/>
      <c r="N451" s="993"/>
      <c r="O451" s="993"/>
      <c r="P451" s="993"/>
      <c r="Q451" s="993"/>
      <c r="R451" s="993"/>
      <c r="S451" s="993"/>
      <c r="T451" s="993"/>
      <c r="U451" s="993"/>
      <c r="V451" s="993"/>
      <c r="W451" s="993"/>
      <c r="X451" s="993"/>
      <c r="Y451" s="993"/>
      <c r="Z451" s="993"/>
    </row>
    <row r="452" s="2505" customFormat="1" customHeight="1" spans="10:26">
      <c r="J452" s="993"/>
      <c r="K452" s="993"/>
      <c r="L452" s="993"/>
      <c r="M452" s="993"/>
      <c r="N452" s="993"/>
      <c r="O452" s="993"/>
      <c r="P452" s="993"/>
      <c r="Q452" s="993"/>
      <c r="R452" s="993"/>
      <c r="S452" s="993"/>
      <c r="T452" s="993"/>
      <c r="U452" s="993"/>
      <c r="V452" s="993"/>
      <c r="W452" s="993"/>
      <c r="X452" s="993"/>
      <c r="Y452" s="993"/>
      <c r="Z452" s="993"/>
    </row>
    <row r="453" s="2505" customFormat="1" customHeight="1" spans="10:26">
      <c r="J453" s="993"/>
      <c r="K453" s="993"/>
      <c r="L453" s="993"/>
      <c r="M453" s="993"/>
      <c r="N453" s="993"/>
      <c r="O453" s="993"/>
      <c r="P453" s="993"/>
      <c r="Q453" s="993"/>
      <c r="R453" s="993"/>
      <c r="S453" s="993"/>
      <c r="T453" s="993"/>
      <c r="U453" s="993"/>
      <c r="V453" s="993"/>
      <c r="W453" s="993"/>
      <c r="X453" s="993"/>
      <c r="Y453" s="993"/>
      <c r="Z453" s="993"/>
    </row>
    <row r="454" s="2505" customFormat="1" customHeight="1" spans="10:26">
      <c r="J454" s="993"/>
      <c r="K454" s="993"/>
      <c r="L454" s="993"/>
      <c r="M454" s="993"/>
      <c r="N454" s="993"/>
      <c r="O454" s="993"/>
      <c r="P454" s="993"/>
      <c r="Q454" s="993"/>
      <c r="R454" s="993"/>
      <c r="S454" s="993"/>
      <c r="T454" s="993"/>
      <c r="U454" s="993"/>
      <c r="V454" s="993"/>
      <c r="W454" s="993"/>
      <c r="X454" s="993"/>
      <c r="Y454" s="993"/>
      <c r="Z454" s="993"/>
    </row>
    <row r="455" s="2505" customFormat="1" customHeight="1" spans="10:26">
      <c r="J455" s="993"/>
      <c r="K455" s="993"/>
      <c r="L455" s="993"/>
      <c r="M455" s="993"/>
      <c r="N455" s="993"/>
      <c r="O455" s="993"/>
      <c r="P455" s="993"/>
      <c r="Q455" s="993"/>
      <c r="R455" s="993"/>
      <c r="S455" s="993"/>
      <c r="T455" s="993"/>
      <c r="U455" s="993"/>
      <c r="V455" s="993"/>
      <c r="W455" s="993"/>
      <c r="X455" s="993"/>
      <c r="Y455" s="993"/>
      <c r="Z455" s="993"/>
    </row>
    <row r="456" s="2505" customFormat="1" customHeight="1" spans="10:26">
      <c r="J456" s="993"/>
      <c r="K456" s="993"/>
      <c r="L456" s="993"/>
      <c r="M456" s="993"/>
      <c r="N456" s="993"/>
      <c r="O456" s="993"/>
      <c r="P456" s="993"/>
      <c r="Q456" s="993"/>
      <c r="R456" s="993"/>
      <c r="S456" s="993"/>
      <c r="T456" s="993"/>
      <c r="U456" s="993"/>
      <c r="V456" s="993"/>
      <c r="W456" s="993"/>
      <c r="X456" s="993"/>
      <c r="Y456" s="993"/>
      <c r="Z456" s="993"/>
    </row>
    <row r="457" s="2505" customFormat="1" customHeight="1" spans="10:26">
      <c r="J457" s="993"/>
      <c r="K457" s="993"/>
      <c r="L457" s="993"/>
      <c r="M457" s="993"/>
      <c r="N457" s="993"/>
      <c r="O457" s="993"/>
      <c r="P457" s="993"/>
      <c r="Q457" s="993"/>
      <c r="R457" s="993"/>
      <c r="S457" s="993"/>
      <c r="T457" s="993"/>
      <c r="U457" s="993"/>
      <c r="V457" s="993"/>
      <c r="W457" s="993"/>
      <c r="X457" s="993"/>
      <c r="Y457" s="993"/>
      <c r="Z457" s="993"/>
    </row>
    <row r="458" s="2505" customFormat="1" customHeight="1" spans="10:26">
      <c r="J458" s="993"/>
      <c r="K458" s="993"/>
      <c r="L458" s="993"/>
      <c r="M458" s="993"/>
      <c r="N458" s="993"/>
      <c r="O458" s="993"/>
      <c r="P458" s="993"/>
      <c r="Q458" s="993"/>
      <c r="R458" s="993"/>
      <c r="S458" s="993"/>
      <c r="T458" s="993"/>
      <c r="U458" s="993"/>
      <c r="V458" s="993"/>
      <c r="W458" s="993"/>
      <c r="X458" s="993"/>
      <c r="Y458" s="993"/>
      <c r="Z458" s="993"/>
    </row>
    <row r="459" s="2505" customFormat="1" customHeight="1" spans="10:26">
      <c r="J459" s="993"/>
      <c r="K459" s="993"/>
      <c r="L459" s="993"/>
      <c r="M459" s="993"/>
      <c r="N459" s="993"/>
      <c r="O459" s="993"/>
      <c r="P459" s="993"/>
      <c r="Q459" s="993"/>
      <c r="R459" s="993"/>
      <c r="S459" s="993"/>
      <c r="T459" s="993"/>
      <c r="U459" s="993"/>
      <c r="V459" s="993"/>
      <c r="W459" s="993"/>
      <c r="X459" s="993"/>
      <c r="Y459" s="993"/>
      <c r="Z459" s="993"/>
    </row>
    <row r="460" s="2505" customFormat="1" customHeight="1" spans="10:26">
      <c r="J460" s="993"/>
      <c r="K460" s="993"/>
      <c r="L460" s="993"/>
      <c r="M460" s="993"/>
      <c r="N460" s="993"/>
      <c r="O460" s="993"/>
      <c r="P460" s="993"/>
      <c r="Q460" s="993"/>
      <c r="R460" s="993"/>
      <c r="S460" s="993"/>
      <c r="T460" s="993"/>
      <c r="U460" s="993"/>
      <c r="V460" s="993"/>
      <c r="W460" s="993"/>
      <c r="X460" s="993"/>
      <c r="Y460" s="993"/>
      <c r="Z460" s="993"/>
    </row>
    <row r="461" s="2505" customFormat="1" customHeight="1" spans="10:26">
      <c r="J461" s="993"/>
      <c r="K461" s="993"/>
      <c r="L461" s="993"/>
      <c r="M461" s="993"/>
      <c r="N461" s="993"/>
      <c r="O461" s="993"/>
      <c r="P461" s="993"/>
      <c r="Q461" s="993"/>
      <c r="R461" s="993"/>
      <c r="S461" s="993"/>
      <c r="T461" s="993"/>
      <c r="U461" s="993"/>
      <c r="V461" s="993"/>
      <c r="W461" s="993"/>
      <c r="X461" s="993"/>
      <c r="Y461" s="993"/>
      <c r="Z461" s="993"/>
    </row>
    <row r="462" s="2505" customFormat="1" customHeight="1" spans="10:26">
      <c r="J462" s="993"/>
      <c r="K462" s="993"/>
      <c r="L462" s="993"/>
      <c r="M462" s="993"/>
      <c r="N462" s="993"/>
      <c r="O462" s="993"/>
      <c r="P462" s="993"/>
      <c r="Q462" s="993"/>
      <c r="R462" s="993"/>
      <c r="S462" s="993"/>
      <c r="T462" s="993"/>
      <c r="U462" s="993"/>
      <c r="V462" s="993"/>
      <c r="W462" s="993"/>
      <c r="X462" s="993"/>
      <c r="Y462" s="993"/>
      <c r="Z462" s="993"/>
    </row>
    <row r="463" s="2505" customFormat="1" customHeight="1" spans="10:26">
      <c r="J463" s="993"/>
      <c r="K463" s="993"/>
      <c r="L463" s="993"/>
      <c r="M463" s="993"/>
      <c r="N463" s="993"/>
      <c r="O463" s="993"/>
      <c r="P463" s="993"/>
      <c r="Q463" s="993"/>
      <c r="R463" s="993"/>
      <c r="S463" s="993"/>
      <c r="T463" s="993"/>
      <c r="U463" s="993"/>
      <c r="V463" s="993"/>
      <c r="W463" s="993"/>
      <c r="X463" s="993"/>
      <c r="Y463" s="993"/>
      <c r="Z463" s="993"/>
    </row>
    <row r="464" s="2505" customFormat="1" customHeight="1" spans="10:26">
      <c r="J464" s="993"/>
      <c r="K464" s="993"/>
      <c r="L464" s="993"/>
      <c r="M464" s="993"/>
      <c r="N464" s="993"/>
      <c r="O464" s="993"/>
      <c r="P464" s="993"/>
      <c r="Q464" s="993"/>
      <c r="R464" s="993"/>
      <c r="S464" s="993"/>
      <c r="T464" s="993"/>
      <c r="U464" s="993"/>
      <c r="V464" s="993"/>
      <c r="W464" s="993"/>
      <c r="X464" s="993"/>
      <c r="Y464" s="993"/>
      <c r="Z464" s="993"/>
    </row>
    <row r="465" s="2505" customFormat="1" customHeight="1" spans="10:26">
      <c r="J465" s="993"/>
      <c r="K465" s="993"/>
      <c r="L465" s="993"/>
      <c r="M465" s="993"/>
      <c r="N465" s="993"/>
      <c r="O465" s="993"/>
      <c r="P465" s="993"/>
      <c r="Q465" s="993"/>
      <c r="R465" s="993"/>
      <c r="S465" s="993"/>
      <c r="T465" s="993"/>
      <c r="U465" s="993"/>
      <c r="V465" s="993"/>
      <c r="W465" s="993"/>
      <c r="X465" s="993"/>
      <c r="Y465" s="993"/>
      <c r="Z465" s="993"/>
    </row>
    <row r="466" s="2505" customFormat="1" customHeight="1" spans="10:26">
      <c r="J466" s="993"/>
      <c r="K466" s="993"/>
      <c r="L466" s="993"/>
      <c r="M466" s="993"/>
      <c r="N466" s="993"/>
      <c r="O466" s="993"/>
      <c r="P466" s="993"/>
      <c r="Q466" s="993"/>
      <c r="R466" s="993"/>
      <c r="S466" s="993"/>
      <c r="T466" s="993"/>
      <c r="U466" s="993"/>
      <c r="V466" s="993"/>
      <c r="W466" s="993"/>
      <c r="X466" s="993"/>
      <c r="Y466" s="993"/>
      <c r="Z466" s="993"/>
    </row>
    <row r="467" s="2505" customFormat="1" customHeight="1" spans="10:26">
      <c r="J467" s="993"/>
      <c r="K467" s="993"/>
      <c r="L467" s="993"/>
      <c r="M467" s="993"/>
      <c r="N467" s="993"/>
      <c r="O467" s="993"/>
      <c r="P467" s="993"/>
      <c r="Q467" s="993"/>
      <c r="R467" s="993"/>
      <c r="S467" s="993"/>
      <c r="T467" s="993"/>
      <c r="U467" s="993"/>
      <c r="V467" s="993"/>
      <c r="W467" s="993"/>
      <c r="X467" s="993"/>
      <c r="Y467" s="993"/>
      <c r="Z467" s="993"/>
    </row>
    <row r="468" s="2505" customFormat="1" customHeight="1" spans="10:26">
      <c r="J468" s="993"/>
      <c r="K468" s="993"/>
      <c r="L468" s="993"/>
      <c r="M468" s="993"/>
      <c r="N468" s="993"/>
      <c r="O468" s="993"/>
      <c r="P468" s="993"/>
      <c r="Q468" s="993"/>
      <c r="R468" s="993"/>
      <c r="S468" s="993"/>
      <c r="T468" s="993"/>
      <c r="U468" s="993"/>
      <c r="V468" s="993"/>
      <c r="W468" s="993"/>
      <c r="X468" s="993"/>
      <c r="Y468" s="993"/>
      <c r="Z468" s="993"/>
    </row>
    <row r="469" s="2505" customFormat="1" customHeight="1" spans="10:26">
      <c r="J469" s="993"/>
      <c r="K469" s="993"/>
      <c r="L469" s="993"/>
      <c r="M469" s="993"/>
      <c r="N469" s="993"/>
      <c r="O469" s="993"/>
      <c r="P469" s="993"/>
      <c r="Q469" s="993"/>
      <c r="R469" s="993"/>
      <c r="S469" s="993"/>
      <c r="T469" s="993"/>
      <c r="U469" s="993"/>
      <c r="V469" s="993"/>
      <c r="W469" s="993"/>
      <c r="X469" s="993"/>
      <c r="Y469" s="993"/>
      <c r="Z469" s="993"/>
    </row>
    <row r="470" s="2505" customFormat="1" customHeight="1" spans="10:26">
      <c r="J470" s="993"/>
      <c r="K470" s="993"/>
      <c r="L470" s="993"/>
      <c r="M470" s="993"/>
      <c r="N470" s="993"/>
      <c r="O470" s="993"/>
      <c r="P470" s="993"/>
      <c r="Q470" s="993"/>
      <c r="R470" s="993"/>
      <c r="S470" s="993"/>
      <c r="T470" s="993"/>
      <c r="U470" s="993"/>
      <c r="V470" s="993"/>
      <c r="W470" s="993"/>
      <c r="X470" s="993"/>
      <c r="Y470" s="993"/>
      <c r="Z470" s="993"/>
    </row>
    <row r="471" s="2505" customFormat="1" customHeight="1" spans="10:26">
      <c r="J471" s="993"/>
      <c r="K471" s="993"/>
      <c r="L471" s="993"/>
      <c r="M471" s="993"/>
      <c r="N471" s="993"/>
      <c r="O471" s="993"/>
      <c r="P471" s="993"/>
      <c r="Q471" s="993"/>
      <c r="R471" s="993"/>
      <c r="S471" s="993"/>
      <c r="T471" s="993"/>
      <c r="U471" s="993"/>
      <c r="V471" s="993"/>
      <c r="W471" s="993"/>
      <c r="X471" s="993"/>
      <c r="Y471" s="993"/>
      <c r="Z471" s="993"/>
    </row>
    <row r="472" s="2505" customFormat="1" customHeight="1" spans="10:26">
      <c r="J472" s="993"/>
      <c r="K472" s="993"/>
      <c r="L472" s="993"/>
      <c r="M472" s="993"/>
      <c r="N472" s="993"/>
      <c r="O472" s="993"/>
      <c r="P472" s="993"/>
      <c r="Q472" s="993"/>
      <c r="R472" s="993"/>
      <c r="S472" s="993"/>
      <c r="T472" s="993"/>
      <c r="U472" s="993"/>
      <c r="V472" s="993"/>
      <c r="W472" s="993"/>
      <c r="X472" s="993"/>
      <c r="Y472" s="993"/>
      <c r="Z472" s="993"/>
    </row>
    <row r="473" s="2505" customFormat="1" customHeight="1" spans="10:26">
      <c r="J473" s="993"/>
      <c r="K473" s="993"/>
      <c r="L473" s="993"/>
      <c r="M473" s="993"/>
      <c r="N473" s="993"/>
      <c r="O473" s="993"/>
      <c r="P473" s="993"/>
      <c r="Q473" s="993"/>
      <c r="R473" s="993"/>
      <c r="S473" s="993"/>
      <c r="T473" s="993"/>
      <c r="U473" s="993"/>
      <c r="V473" s="993"/>
      <c r="W473" s="993"/>
      <c r="X473" s="993"/>
      <c r="Y473" s="993"/>
      <c r="Z473" s="993"/>
    </row>
    <row r="474" s="2505" customFormat="1" customHeight="1" spans="10:26">
      <c r="J474" s="993"/>
      <c r="K474" s="993"/>
      <c r="L474" s="993"/>
      <c r="M474" s="993"/>
      <c r="N474" s="993"/>
      <c r="O474" s="993"/>
      <c r="P474" s="993"/>
      <c r="Q474" s="993"/>
      <c r="R474" s="993"/>
      <c r="S474" s="993"/>
      <c r="T474" s="993"/>
      <c r="U474" s="993"/>
      <c r="V474" s="993"/>
      <c r="W474" s="993"/>
      <c r="X474" s="993"/>
      <c r="Y474" s="993"/>
      <c r="Z474" s="993"/>
    </row>
    <row r="475" s="2505" customFormat="1" customHeight="1" spans="10:26">
      <c r="J475" s="993"/>
      <c r="K475" s="993"/>
      <c r="L475" s="993"/>
      <c r="M475" s="993"/>
      <c r="N475" s="993"/>
      <c r="O475" s="993"/>
      <c r="P475" s="993"/>
      <c r="Q475" s="993"/>
      <c r="R475" s="993"/>
      <c r="S475" s="993"/>
      <c r="T475" s="993"/>
      <c r="U475" s="993"/>
      <c r="V475" s="993"/>
      <c r="W475" s="993"/>
      <c r="X475" s="993"/>
      <c r="Y475" s="993"/>
      <c r="Z475" s="993"/>
    </row>
    <row r="476" s="2505" customFormat="1" customHeight="1" spans="10:26">
      <c r="J476" s="993"/>
      <c r="K476" s="993"/>
      <c r="L476" s="993"/>
      <c r="M476" s="993"/>
      <c r="N476" s="993"/>
      <c r="O476" s="993"/>
      <c r="P476" s="993"/>
      <c r="Q476" s="993"/>
      <c r="R476" s="993"/>
      <c r="S476" s="993"/>
      <c r="T476" s="993"/>
      <c r="U476" s="993"/>
      <c r="V476" s="993"/>
      <c r="W476" s="993"/>
      <c r="X476" s="993"/>
      <c r="Y476" s="993"/>
      <c r="Z476" s="993"/>
    </row>
    <row r="477" s="2505" customFormat="1" customHeight="1" spans="10:26">
      <c r="J477" s="993"/>
      <c r="K477" s="993"/>
      <c r="L477" s="993"/>
      <c r="M477" s="993"/>
      <c r="N477" s="993"/>
      <c r="O477" s="993"/>
      <c r="P477" s="993"/>
      <c r="Q477" s="993"/>
      <c r="R477" s="993"/>
      <c r="S477" s="993"/>
      <c r="T477" s="993"/>
      <c r="U477" s="993"/>
      <c r="V477" s="993"/>
      <c r="W477" s="993"/>
      <c r="X477" s="993"/>
      <c r="Y477" s="993"/>
      <c r="Z477" s="993"/>
    </row>
    <row r="478" s="2505" customFormat="1" customHeight="1" spans="10:26">
      <c r="J478" s="993"/>
      <c r="K478" s="993"/>
      <c r="L478" s="993"/>
      <c r="M478" s="993"/>
      <c r="N478" s="993"/>
      <c r="O478" s="993"/>
      <c r="P478" s="993"/>
      <c r="Q478" s="993"/>
      <c r="R478" s="993"/>
      <c r="S478" s="993"/>
      <c r="T478" s="993"/>
      <c r="U478" s="993"/>
      <c r="V478" s="993"/>
      <c r="W478" s="993"/>
      <c r="X478" s="993"/>
      <c r="Y478" s="993"/>
      <c r="Z478" s="993"/>
    </row>
    <row r="479" s="2505" customFormat="1" customHeight="1" spans="10:26">
      <c r="J479" s="993"/>
      <c r="K479" s="993"/>
      <c r="L479" s="993"/>
      <c r="M479" s="993"/>
      <c r="N479" s="993"/>
      <c r="O479" s="993"/>
      <c r="P479" s="993"/>
      <c r="Q479" s="993"/>
      <c r="R479" s="993"/>
      <c r="S479" s="993"/>
      <c r="T479" s="993"/>
      <c r="U479" s="993"/>
      <c r="V479" s="993"/>
      <c r="W479" s="993"/>
      <c r="X479" s="993"/>
      <c r="Y479" s="993"/>
      <c r="Z479" s="993"/>
    </row>
    <row r="480" s="2505" customFormat="1" customHeight="1" spans="10:26">
      <c r="J480" s="993"/>
      <c r="K480" s="993"/>
      <c r="L480" s="993"/>
      <c r="M480" s="993"/>
      <c r="N480" s="993"/>
      <c r="O480" s="993"/>
      <c r="P480" s="993"/>
      <c r="Q480" s="993"/>
      <c r="R480" s="993"/>
      <c r="S480" s="993"/>
      <c r="T480" s="993"/>
      <c r="U480" s="993"/>
      <c r="V480" s="993"/>
      <c r="W480" s="993"/>
      <c r="X480" s="993"/>
      <c r="Y480" s="993"/>
      <c r="Z480" s="993"/>
    </row>
    <row r="481" s="2505" customFormat="1" customHeight="1" spans="10:26">
      <c r="J481" s="993"/>
      <c r="K481" s="993"/>
      <c r="L481" s="993"/>
      <c r="M481" s="993"/>
      <c r="N481" s="993"/>
      <c r="O481" s="993"/>
      <c r="P481" s="993"/>
      <c r="Q481" s="993"/>
      <c r="R481" s="993"/>
      <c r="S481" s="993"/>
      <c r="T481" s="993"/>
      <c r="U481" s="993"/>
      <c r="V481" s="993"/>
      <c r="W481" s="993"/>
      <c r="X481" s="993"/>
      <c r="Y481" s="993"/>
      <c r="Z481" s="993"/>
    </row>
    <row r="482" s="2505" customFormat="1" customHeight="1" spans="10:26">
      <c r="J482" s="993"/>
      <c r="K482" s="993"/>
      <c r="L482" s="993"/>
      <c r="M482" s="993"/>
      <c r="N482" s="993"/>
      <c r="O482" s="993"/>
      <c r="P482" s="993"/>
      <c r="Q482" s="993"/>
      <c r="R482" s="993"/>
      <c r="S482" s="993"/>
      <c r="T482" s="993"/>
      <c r="U482" s="993"/>
      <c r="V482" s="993"/>
      <c r="W482" s="993"/>
      <c r="X482" s="993"/>
      <c r="Y482" s="993"/>
      <c r="Z482" s="993"/>
    </row>
    <row r="483" s="2505" customFormat="1" customHeight="1" spans="10:26">
      <c r="J483" s="993"/>
      <c r="K483" s="993"/>
      <c r="L483" s="993"/>
      <c r="M483" s="993"/>
      <c r="N483" s="993"/>
      <c r="O483" s="993"/>
      <c r="P483" s="993"/>
      <c r="Q483" s="993"/>
      <c r="R483" s="993"/>
      <c r="S483" s="993"/>
      <c r="T483" s="993"/>
      <c r="U483" s="993"/>
      <c r="V483" s="993"/>
      <c r="W483" s="993"/>
      <c r="X483" s="993"/>
      <c r="Y483" s="993"/>
      <c r="Z483" s="993"/>
    </row>
    <row r="484" s="2505" customFormat="1" customHeight="1" spans="10:26">
      <c r="J484" s="993"/>
      <c r="K484" s="993"/>
      <c r="L484" s="993"/>
      <c r="M484" s="993"/>
      <c r="N484" s="993"/>
      <c r="O484" s="993"/>
      <c r="P484" s="993"/>
      <c r="Q484" s="993"/>
      <c r="R484" s="993"/>
      <c r="S484" s="993"/>
      <c r="T484" s="993"/>
      <c r="U484" s="993"/>
      <c r="V484" s="993"/>
      <c r="W484" s="993"/>
      <c r="X484" s="993"/>
      <c r="Y484" s="993"/>
      <c r="Z484" s="993"/>
    </row>
    <row r="485" s="2505" customFormat="1" customHeight="1" spans="10:26">
      <c r="J485" s="993"/>
      <c r="K485" s="993"/>
      <c r="L485" s="993"/>
      <c r="M485" s="993"/>
      <c r="N485" s="993"/>
      <c r="O485" s="993"/>
      <c r="P485" s="993"/>
      <c r="Q485" s="993"/>
      <c r="R485" s="993"/>
      <c r="S485" s="993"/>
      <c r="T485" s="993"/>
      <c r="U485" s="993"/>
      <c r="V485" s="993"/>
      <c r="W485" s="993"/>
      <c r="X485" s="993"/>
      <c r="Y485" s="993"/>
      <c r="Z485" s="993"/>
    </row>
    <row r="486" s="2505" customFormat="1" customHeight="1" spans="10:26">
      <c r="J486" s="993"/>
      <c r="K486" s="993"/>
      <c r="L486" s="993"/>
      <c r="M486" s="993"/>
      <c r="N486" s="993"/>
      <c r="O486" s="993"/>
      <c r="P486" s="993"/>
      <c r="Q486" s="993"/>
      <c r="R486" s="993"/>
      <c r="S486" s="993"/>
      <c r="T486" s="993"/>
      <c r="U486" s="993"/>
      <c r="V486" s="993"/>
      <c r="W486" s="993"/>
      <c r="X486" s="993"/>
      <c r="Y486" s="993"/>
      <c r="Z486" s="993"/>
    </row>
    <row r="487" s="2505" customFormat="1" customHeight="1" spans="10:26">
      <c r="J487" s="993"/>
      <c r="K487" s="993"/>
      <c r="L487" s="993"/>
      <c r="M487" s="993"/>
      <c r="N487" s="993"/>
      <c r="O487" s="993"/>
      <c r="P487" s="993"/>
      <c r="Q487" s="993"/>
      <c r="R487" s="993"/>
      <c r="S487" s="993"/>
      <c r="T487" s="993"/>
      <c r="U487" s="993"/>
      <c r="V487" s="993"/>
      <c r="W487" s="993"/>
      <c r="X487" s="993"/>
      <c r="Y487" s="993"/>
      <c r="Z487" s="993"/>
    </row>
    <row r="488" s="2505" customFormat="1" customHeight="1" spans="10:26">
      <c r="J488" s="993"/>
      <c r="K488" s="993"/>
      <c r="L488" s="993"/>
      <c r="M488" s="993"/>
      <c r="N488" s="993"/>
      <c r="O488" s="993"/>
      <c r="P488" s="993"/>
      <c r="Q488" s="993"/>
      <c r="R488" s="993"/>
      <c r="S488" s="993"/>
      <c r="T488" s="993"/>
      <c r="U488" s="993"/>
      <c r="V488" s="993"/>
      <c r="W488" s="993"/>
      <c r="X488" s="993"/>
      <c r="Y488" s="993"/>
      <c r="Z488" s="993"/>
    </row>
    <row r="489" s="2505" customFormat="1" customHeight="1" spans="10:26">
      <c r="J489" s="993"/>
      <c r="K489" s="993"/>
      <c r="L489" s="993"/>
      <c r="M489" s="993"/>
      <c r="N489" s="993"/>
      <c r="O489" s="993"/>
      <c r="P489" s="993"/>
      <c r="Q489" s="993"/>
      <c r="R489" s="993"/>
      <c r="S489" s="993"/>
      <c r="T489" s="993"/>
      <c r="U489" s="993"/>
      <c r="V489" s="993"/>
      <c r="W489" s="993"/>
      <c r="X489" s="993"/>
      <c r="Y489" s="993"/>
      <c r="Z489" s="993"/>
    </row>
    <row r="490" s="2505" customFormat="1" customHeight="1" spans="10:26">
      <c r="J490" s="993"/>
      <c r="K490" s="993"/>
      <c r="L490" s="993"/>
      <c r="M490" s="993"/>
      <c r="N490" s="993"/>
      <c r="O490" s="993"/>
      <c r="P490" s="993"/>
      <c r="Q490" s="993"/>
      <c r="R490" s="993"/>
      <c r="S490" s="993"/>
      <c r="T490" s="993"/>
      <c r="U490" s="993"/>
      <c r="V490" s="993"/>
      <c r="W490" s="993"/>
      <c r="X490" s="993"/>
      <c r="Y490" s="993"/>
      <c r="Z490" s="993"/>
    </row>
    <row r="491" s="2505" customFormat="1" customHeight="1" spans="10:26">
      <c r="J491" s="993"/>
      <c r="K491" s="993"/>
      <c r="L491" s="993"/>
      <c r="M491" s="993"/>
      <c r="N491" s="993"/>
      <c r="O491" s="993"/>
      <c r="P491" s="993"/>
      <c r="Q491" s="993"/>
      <c r="R491" s="993"/>
      <c r="S491" s="993"/>
      <c r="T491" s="993"/>
      <c r="U491" s="993"/>
      <c r="V491" s="993"/>
      <c r="W491" s="993"/>
      <c r="X491" s="993"/>
      <c r="Y491" s="993"/>
      <c r="Z491" s="993"/>
    </row>
    <row r="492" s="2505" customFormat="1" customHeight="1" spans="10:26">
      <c r="J492" s="993"/>
      <c r="K492" s="993"/>
      <c r="L492" s="993"/>
      <c r="M492" s="993"/>
      <c r="N492" s="993"/>
      <c r="O492" s="993"/>
      <c r="P492" s="993"/>
      <c r="Q492" s="993"/>
      <c r="R492" s="993"/>
      <c r="S492" s="993"/>
      <c r="T492" s="993"/>
      <c r="U492" s="993"/>
      <c r="V492" s="993"/>
      <c r="W492" s="993"/>
      <c r="X492" s="993"/>
      <c r="Y492" s="993"/>
      <c r="Z492" s="993"/>
    </row>
    <row r="493" s="2505" customFormat="1" customHeight="1" spans="10:26">
      <c r="J493" s="993"/>
      <c r="K493" s="993"/>
      <c r="L493" s="993"/>
      <c r="M493" s="993"/>
      <c r="N493" s="993"/>
      <c r="O493" s="993"/>
      <c r="P493" s="993"/>
      <c r="Q493" s="993"/>
      <c r="R493" s="993"/>
      <c r="S493" s="993"/>
      <c r="T493" s="993"/>
      <c r="U493" s="993"/>
      <c r="V493" s="993"/>
      <c r="W493" s="993"/>
      <c r="X493" s="993"/>
      <c r="Y493" s="993"/>
      <c r="Z493" s="993"/>
    </row>
    <row r="494" s="2505" customFormat="1" customHeight="1" spans="10:26">
      <c r="J494" s="993"/>
      <c r="K494" s="993"/>
      <c r="L494" s="993"/>
      <c r="M494" s="993"/>
      <c r="N494" s="993"/>
      <c r="O494" s="993"/>
      <c r="P494" s="993"/>
      <c r="Q494" s="993"/>
      <c r="R494" s="993"/>
      <c r="S494" s="993"/>
      <c r="T494" s="993"/>
      <c r="U494" s="993"/>
      <c r="V494" s="993"/>
      <c r="W494" s="993"/>
      <c r="X494" s="993"/>
      <c r="Y494" s="993"/>
      <c r="Z494" s="993"/>
    </row>
    <row r="495" s="2505" customFormat="1" customHeight="1" spans="10:26">
      <c r="J495" s="993"/>
      <c r="K495" s="993"/>
      <c r="L495" s="993"/>
      <c r="M495" s="993"/>
      <c r="N495" s="993"/>
      <c r="O495" s="993"/>
      <c r="P495" s="993"/>
      <c r="Q495" s="993"/>
      <c r="R495" s="993"/>
      <c r="S495" s="993"/>
      <c r="T495" s="993"/>
      <c r="U495" s="993"/>
      <c r="V495" s="993"/>
      <c r="W495" s="993"/>
      <c r="X495" s="993"/>
      <c r="Y495" s="993"/>
      <c r="Z495" s="993"/>
    </row>
    <row r="496" s="2505" customFormat="1" customHeight="1" spans="10:26">
      <c r="J496" s="993"/>
      <c r="K496" s="993"/>
      <c r="L496" s="993"/>
      <c r="M496" s="993"/>
      <c r="N496" s="993"/>
      <c r="O496" s="993"/>
      <c r="P496" s="993"/>
      <c r="Q496" s="993"/>
      <c r="R496" s="993"/>
      <c r="S496" s="993"/>
      <c r="T496" s="993"/>
      <c r="U496" s="993"/>
      <c r="V496" s="993"/>
      <c r="W496" s="993"/>
      <c r="X496" s="993"/>
      <c r="Y496" s="993"/>
      <c r="Z496" s="993"/>
    </row>
    <row r="497" s="2505" customFormat="1" customHeight="1" spans="10:26">
      <c r="J497" s="993"/>
      <c r="K497" s="993"/>
      <c r="L497" s="993"/>
      <c r="M497" s="993"/>
      <c r="N497" s="993"/>
      <c r="O497" s="993"/>
      <c r="P497" s="993"/>
      <c r="Q497" s="993"/>
      <c r="R497" s="993"/>
      <c r="S497" s="993"/>
      <c r="T497" s="993"/>
      <c r="U497" s="993"/>
      <c r="V497" s="993"/>
      <c r="W497" s="993"/>
      <c r="X497" s="993"/>
      <c r="Y497" s="993"/>
      <c r="Z497" s="993"/>
    </row>
    <row r="498" s="2505" customFormat="1" customHeight="1" spans="10:26">
      <c r="J498" s="993"/>
      <c r="K498" s="993"/>
      <c r="L498" s="993"/>
      <c r="M498" s="993"/>
      <c r="N498" s="993"/>
      <c r="O498" s="993"/>
      <c r="P498" s="993"/>
      <c r="Q498" s="993"/>
      <c r="R498" s="993"/>
      <c r="S498" s="993"/>
      <c r="T498" s="993"/>
      <c r="U498" s="993"/>
      <c r="V498" s="993"/>
      <c r="W498" s="993"/>
      <c r="X498" s="993"/>
      <c r="Y498" s="993"/>
      <c r="Z498" s="993"/>
    </row>
    <row r="499" s="2505" customFormat="1" customHeight="1" spans="10:26">
      <c r="J499" s="993"/>
      <c r="K499" s="993"/>
      <c r="L499" s="993"/>
      <c r="M499" s="993"/>
      <c r="N499" s="993"/>
      <c r="O499" s="993"/>
      <c r="P499" s="993"/>
      <c r="Q499" s="993"/>
      <c r="R499" s="993"/>
      <c r="S499" s="993"/>
      <c r="T499" s="993"/>
      <c r="U499" s="993"/>
      <c r="V499" s="993"/>
      <c r="W499" s="993"/>
      <c r="X499" s="993"/>
      <c r="Y499" s="993"/>
      <c r="Z499" s="993"/>
    </row>
    <row r="500" s="2505" customFormat="1" customHeight="1" spans="10:26">
      <c r="J500" s="993"/>
      <c r="K500" s="993"/>
      <c r="L500" s="993"/>
      <c r="M500" s="993"/>
      <c r="N500" s="993"/>
      <c r="O500" s="993"/>
      <c r="P500" s="993"/>
      <c r="Q500" s="993"/>
      <c r="R500" s="993"/>
      <c r="S500" s="993"/>
      <c r="T500" s="993"/>
      <c r="U500" s="993"/>
      <c r="V500" s="993"/>
      <c r="W500" s="993"/>
      <c r="X500" s="993"/>
      <c r="Y500" s="993"/>
      <c r="Z500" s="993"/>
    </row>
    <row r="501" s="2505" customFormat="1" customHeight="1" spans="10:26">
      <c r="J501" s="993"/>
      <c r="K501" s="993"/>
      <c r="L501" s="993"/>
      <c r="M501" s="993"/>
      <c r="N501" s="993"/>
      <c r="O501" s="993"/>
      <c r="P501" s="993"/>
      <c r="Q501" s="993"/>
      <c r="R501" s="993"/>
      <c r="S501" s="993"/>
      <c r="T501" s="993"/>
      <c r="U501" s="993"/>
      <c r="V501" s="993"/>
      <c r="W501" s="993"/>
      <c r="X501" s="993"/>
      <c r="Y501" s="993"/>
      <c r="Z501" s="993"/>
    </row>
    <row r="502" s="2505" customFormat="1" customHeight="1" spans="10:26">
      <c r="J502" s="993"/>
      <c r="K502" s="993"/>
      <c r="L502" s="993"/>
      <c r="M502" s="993"/>
      <c r="N502" s="993"/>
      <c r="O502" s="993"/>
      <c r="P502" s="993"/>
      <c r="Q502" s="993"/>
      <c r="R502" s="993"/>
      <c r="S502" s="993"/>
      <c r="T502" s="993"/>
      <c r="U502" s="993"/>
      <c r="V502" s="993"/>
      <c r="W502" s="993"/>
      <c r="X502" s="993"/>
      <c r="Y502" s="993"/>
      <c r="Z502" s="993"/>
    </row>
    <row r="503" s="2505" customFormat="1" customHeight="1" spans="10:26">
      <c r="J503" s="993"/>
      <c r="K503" s="993"/>
      <c r="L503" s="993"/>
      <c r="M503" s="993"/>
      <c r="N503" s="993"/>
      <c r="O503" s="993"/>
      <c r="P503" s="993"/>
      <c r="Q503" s="993"/>
      <c r="R503" s="993"/>
      <c r="S503" s="993"/>
      <c r="T503" s="993"/>
      <c r="U503" s="993"/>
      <c r="V503" s="993"/>
      <c r="W503" s="993"/>
      <c r="X503" s="993"/>
      <c r="Y503" s="993"/>
      <c r="Z503" s="993"/>
    </row>
    <row r="504" s="2505" customFormat="1" customHeight="1" spans="10:26">
      <c r="J504" s="993"/>
      <c r="K504" s="993"/>
      <c r="L504" s="993"/>
      <c r="M504" s="993"/>
      <c r="N504" s="993"/>
      <c r="O504" s="993"/>
      <c r="P504" s="993"/>
      <c r="Q504" s="993"/>
      <c r="R504" s="993"/>
      <c r="S504" s="993"/>
      <c r="T504" s="993"/>
      <c r="U504" s="993"/>
      <c r="V504" s="993"/>
      <c r="W504" s="993"/>
      <c r="X504" s="993"/>
      <c r="Y504" s="993"/>
      <c r="Z504" s="993"/>
    </row>
    <row r="505" s="2505" customFormat="1" customHeight="1" spans="10:26">
      <c r="J505" s="993"/>
      <c r="K505" s="993"/>
      <c r="L505" s="993"/>
      <c r="M505" s="993"/>
      <c r="N505" s="993"/>
      <c r="O505" s="993"/>
      <c r="P505" s="993"/>
      <c r="Q505" s="993"/>
      <c r="R505" s="993"/>
      <c r="S505" s="993"/>
      <c r="T505" s="993"/>
      <c r="U505" s="993"/>
      <c r="V505" s="993"/>
      <c r="W505" s="993"/>
      <c r="X505" s="993"/>
      <c r="Y505" s="993"/>
      <c r="Z505" s="993"/>
    </row>
    <row r="506" s="2505" customFormat="1" customHeight="1" spans="10:26">
      <c r="J506" s="993"/>
      <c r="K506" s="993"/>
      <c r="L506" s="993"/>
      <c r="M506" s="993"/>
      <c r="N506" s="993"/>
      <c r="O506" s="993"/>
      <c r="P506" s="993"/>
      <c r="Q506" s="993"/>
      <c r="R506" s="993"/>
      <c r="S506" s="993"/>
      <c r="T506" s="993"/>
      <c r="U506" s="993"/>
      <c r="V506" s="993"/>
      <c r="W506" s="993"/>
      <c r="X506" s="993"/>
      <c r="Y506" s="993"/>
      <c r="Z506" s="993"/>
    </row>
    <row r="507" s="2505" customFormat="1" customHeight="1" spans="10:26">
      <c r="J507" s="993"/>
      <c r="K507" s="993"/>
      <c r="L507" s="993"/>
      <c r="M507" s="993"/>
      <c r="N507" s="993"/>
      <c r="O507" s="993"/>
      <c r="P507" s="993"/>
      <c r="Q507" s="993"/>
      <c r="R507" s="993"/>
      <c r="S507" s="993"/>
      <c r="T507" s="993"/>
      <c r="U507" s="993"/>
      <c r="V507" s="993"/>
      <c r="W507" s="993"/>
      <c r="X507" s="993"/>
      <c r="Y507" s="993"/>
      <c r="Z507" s="993"/>
    </row>
    <row r="508" s="2505" customFormat="1" customHeight="1" spans="10:26">
      <c r="J508" s="993"/>
      <c r="K508" s="993"/>
      <c r="L508" s="993"/>
      <c r="M508" s="993"/>
      <c r="N508" s="993"/>
      <c r="O508" s="993"/>
      <c r="P508" s="993"/>
      <c r="Q508" s="993"/>
      <c r="R508" s="993"/>
      <c r="S508" s="993"/>
      <c r="T508" s="993"/>
      <c r="U508" s="993"/>
      <c r="V508" s="993"/>
      <c r="W508" s="993"/>
      <c r="X508" s="993"/>
      <c r="Y508" s="993"/>
      <c r="Z508" s="993"/>
    </row>
    <row r="509" s="2505" customFormat="1" customHeight="1" spans="10:26">
      <c r="J509" s="993"/>
      <c r="K509" s="993"/>
      <c r="L509" s="993"/>
      <c r="M509" s="993"/>
      <c r="N509" s="993"/>
      <c r="O509" s="993"/>
      <c r="P509" s="993"/>
      <c r="Q509" s="993"/>
      <c r="R509" s="993"/>
      <c r="S509" s="993"/>
      <c r="T509" s="993"/>
      <c r="U509" s="993"/>
      <c r="V509" s="993"/>
      <c r="W509" s="993"/>
      <c r="X509" s="993"/>
      <c r="Y509" s="993"/>
      <c r="Z509" s="993"/>
    </row>
    <row r="510" s="2505" customFormat="1" customHeight="1" spans="10:26">
      <c r="J510" s="993"/>
      <c r="K510" s="993"/>
      <c r="L510" s="993"/>
      <c r="M510" s="993"/>
      <c r="N510" s="993"/>
      <c r="O510" s="993"/>
      <c r="P510" s="993"/>
      <c r="Q510" s="993"/>
      <c r="R510" s="993"/>
      <c r="S510" s="993"/>
      <c r="T510" s="993"/>
      <c r="U510" s="993"/>
      <c r="V510" s="993"/>
      <c r="W510" s="993"/>
      <c r="X510" s="993"/>
      <c r="Y510" s="993"/>
      <c r="Z510" s="993"/>
    </row>
    <row r="511" s="2505" customFormat="1" customHeight="1" spans="10:26">
      <c r="J511" s="993"/>
      <c r="K511" s="993"/>
      <c r="L511" s="993"/>
      <c r="M511" s="993"/>
      <c r="N511" s="993"/>
      <c r="O511" s="993"/>
      <c r="P511" s="993"/>
      <c r="Q511" s="993"/>
      <c r="R511" s="993"/>
      <c r="S511" s="993"/>
      <c r="T511" s="993"/>
      <c r="U511" s="993"/>
      <c r="V511" s="993"/>
      <c r="W511" s="993"/>
      <c r="X511" s="993"/>
      <c r="Y511" s="993"/>
      <c r="Z511" s="993"/>
    </row>
    <row r="512" s="2505"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H48">
      <formula1>"情况1,情况2,情况3,情况4"</formula1>
    </dataValidation>
    <dataValidation type="list" allowBlank="1" showInputMessage="1" showErrorMessage="1" sqref="C1">
      <formula1>项目类型</formula1>
    </dataValidation>
    <dataValidation type="list" allowBlank="1" showInputMessage="1" showErrorMessage="1" sqref="F45">
      <formula1>"100%,70%,56%"</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983</v>
      </c>
      <c r="B1" s="2487"/>
      <c r="C1" s="392"/>
      <c r="D1" s="392"/>
      <c r="E1" s="392"/>
      <c r="F1" s="392"/>
      <c r="G1" s="2489">
        <f>MATCH(B1,'数据-取费表'!A6:A16,0)+5</f>
        <v>7</v>
      </c>
    </row>
    <row r="2" s="382" customFormat="1" ht="18" customHeight="1" spans="1:7">
      <c r="A2" s="394" t="s">
        <v>984</v>
      </c>
      <c r="B2" s="395">
        <f ca="1">IF(D2="——",C52,C52-E2)</f>
        <v>120</v>
      </c>
      <c r="C2" s="393" t="s">
        <v>985</v>
      </c>
      <c r="D2" s="2491" t="s">
        <v>124</v>
      </c>
      <c r="E2" s="2492" t="e">
        <f ca="1">SUMIF(INDIRECT("'"&amp;G2&amp;"'"&amp;"!A:A"),"承租人权益价值",INDIRECT("'"&amp;G2&amp;"'"&amp;"!c:c"))</f>
        <v>#REF!</v>
      </c>
      <c r="F2" s="2493" t="s">
        <v>985</v>
      </c>
      <c r="G2" s="2494"/>
    </row>
    <row r="3" s="382" customFormat="1" ht="18" customHeight="1" spans="1:7">
      <c r="A3" s="397" t="s">
        <v>986</v>
      </c>
      <c r="B3" s="398">
        <f ca="1">ROUND(B2*10000/(IF(B1="",'数据-汇总表'!E3,INDIRECT("'数据-取费表'!k"&amp;$G$1))),0)</f>
        <v>5672</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0</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IF(G8="已包含在土地购买价格中","0",IF(B1="",'数据-取费表'!B29,IF(G9="全部缴纳",C9+C10,H9)))</f>
        <v>0</v>
      </c>
      <c r="D8" s="415"/>
      <c r="E8" s="413"/>
      <c r="F8" s="414"/>
      <c r="G8" s="2495"/>
    </row>
    <row r="9" s="384" customFormat="1" ht="13.5" customHeight="1" spans="1:9">
      <c r="A9" s="417" t="s">
        <v>999</v>
      </c>
      <c r="B9" s="418" t="s">
        <v>1000</v>
      </c>
      <c r="C9" s="419">
        <f ca="1">ROUND(D9*E9/10000,0)</f>
        <v>3</v>
      </c>
      <c r="D9" s="420">
        <f ca="1">IF(B1="",'数据-汇总表'!E5,IF(INDIRECT("'数据-取费表'!c"&amp;$G$1)="住宅",INDIRECT("'数据-取费表'!k"&amp;$G$1),0))</f>
        <v>211.57</v>
      </c>
      <c r="E9" s="419">
        <f>'数据-取费表'!B27</f>
        <v>160</v>
      </c>
      <c r="F9" s="414"/>
      <c r="G9" s="2499"/>
      <c r="H9" s="2500"/>
      <c r="I9" s="2501" t="s">
        <v>1001</v>
      </c>
    </row>
    <row r="10" s="384" customFormat="1" ht="13.5" customHeight="1" spans="1:7">
      <c r="A10" s="417" t="s">
        <v>1002</v>
      </c>
      <c r="B10" s="418" t="s">
        <v>1003</v>
      </c>
      <c r="C10" s="419">
        <f ca="1">ROUND(D10*E10/10000,0)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IF(G19="已包含在土地取得成本中","0",ROUND(D19*E19/10000,0))</f>
        <v>6</v>
      </c>
      <c r="D19" s="428">
        <f ca="1">D9+D10</f>
        <v>211.57</v>
      </c>
      <c r="E19" s="404">
        <f>'数据-取费表'!B31</f>
        <v>300</v>
      </c>
      <c r="F19" s="429"/>
      <c r="G19" s="2495"/>
    </row>
    <row r="20" s="384" customFormat="1" ht="13.5" customHeight="1" spans="1:7">
      <c r="A20" s="402" t="s">
        <v>1022</v>
      </c>
      <c r="B20" s="403" t="s">
        <v>1023</v>
      </c>
      <c r="C20" s="430">
        <f ca="1">ROUND((C5+C19)*F20,0)</f>
        <v>0</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436">
        <f ca="1">ROUND(SUM(C23:C25),0)</f>
        <v>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439">
        <f ca="1">ROUND(IF('数据-取费表'!B22&lt;=1,C5*F22*'数据-取费表'!B23,C5*(POWER((1+F22),'数据-取费表'!B23)-1)),0)</f>
        <v>0</v>
      </c>
      <c r="D23" s="440"/>
      <c r="E23" s="440"/>
      <c r="F23" s="441"/>
      <c r="G23" s="442" t="s">
        <v>1032</v>
      </c>
    </row>
    <row r="24" s="384" customFormat="1" ht="13.5" customHeight="1" spans="1:7">
      <c r="A24" s="438" t="s">
        <v>995</v>
      </c>
      <c r="B24" s="408" t="s">
        <v>1033</v>
      </c>
      <c r="C24" s="439">
        <f ca="1">ROUND(IF('数据-取费表'!B22&lt;=1,C19*F22*('数据-取费表'!B19/2+'数据-取费表'!B21),C19*(POWER((1+F22),('数据-取费表'!B19/2+'数据-取费表'!B21))-1)),0)</f>
        <v>1</v>
      </c>
      <c r="D24" s="440"/>
      <c r="E24" s="440"/>
      <c r="F24" s="441"/>
      <c r="G24" s="442" t="s">
        <v>1034</v>
      </c>
    </row>
    <row r="25" s="384" customFormat="1" ht="24" spans="1:7">
      <c r="A25" s="438" t="s">
        <v>997</v>
      </c>
      <c r="B25" s="408" t="s">
        <v>1035</v>
      </c>
      <c r="C25" s="439">
        <f ca="1">ROUND(IF('数据-取费表'!B22&lt;=1,C20*F22*'数据-取费表'!B23/2,C20*(POWER((1+F22),'数据-取费表'!B23/2)-1)),0)</f>
        <v>0</v>
      </c>
      <c r="D25" s="440"/>
      <c r="E25" s="443"/>
      <c r="F25" s="441"/>
      <c r="G25" s="444" t="s">
        <v>1036</v>
      </c>
    </row>
    <row r="26" s="384" customFormat="1" spans="1:7">
      <c r="A26" s="438" t="s">
        <v>1037</v>
      </c>
      <c r="B26" s="408" t="s">
        <v>1038</v>
      </c>
      <c r="C26" s="440">
        <f>ROUND(IF('数据-取费表'!B22&lt;=1,F21*F22*'数据-取费表'!B23/2,F21*(POWER((1+F22),'数据-取费表'!B23/2)-1)),4)</f>
        <v>0.0012</v>
      </c>
      <c r="D26" s="440"/>
      <c r="E26" s="443"/>
      <c r="F26" s="441"/>
      <c r="G26" s="445"/>
    </row>
    <row r="27" s="384" customFormat="1" ht="24.75" spans="1:7">
      <c r="A27" s="402" t="s">
        <v>1039</v>
      </c>
      <c r="B27" s="446" t="s">
        <v>1040</v>
      </c>
      <c r="C27" s="447">
        <f ca="1">C28</f>
        <v>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ROUND((C5+C19+C20)*F27*'数据-取费表'!B21/'数据-取费表'!B20,0)</f>
        <v>1</v>
      </c>
      <c r="D28" s="433"/>
      <c r="E28" s="434"/>
      <c r="F28" s="448"/>
      <c r="G28" s="449"/>
    </row>
    <row r="29" s="384" customFormat="1" ht="13.5" customHeight="1" spans="1:7">
      <c r="A29" s="438" t="s">
        <v>995</v>
      </c>
      <c r="B29" s="450" t="s">
        <v>1043</v>
      </c>
      <c r="C29" s="440">
        <f ca="1">ROUND(C21*F27*'数据-取费表'!B21/'数据-取费表'!B20,4)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9</v>
      </c>
      <c r="D31" s="453"/>
      <c r="E31" s="404"/>
      <c r="F31" s="454"/>
      <c r="G31" s="435" t="s">
        <v>1048</v>
      </c>
    </row>
    <row r="32" s="383" customFormat="1" ht="15.75" spans="1:7">
      <c r="A32" s="455" t="s">
        <v>1049</v>
      </c>
      <c r="B32" s="456"/>
      <c r="C32" s="456"/>
      <c r="D32" s="456"/>
      <c r="E32" s="456"/>
      <c r="F32" s="456"/>
      <c r="G32" s="457"/>
    </row>
    <row r="33" s="384" customFormat="1" ht="13.5" customHeight="1" spans="1:7">
      <c r="A33" s="402" t="s">
        <v>989</v>
      </c>
      <c r="B33" s="403" t="s">
        <v>1050</v>
      </c>
      <c r="C33" s="458">
        <f ca="1">SUM(C34:C38)</f>
        <v>110</v>
      </c>
      <c r="D33" s="430"/>
      <c r="E33" s="405"/>
      <c r="F33" s="443"/>
      <c r="G33" s="435"/>
    </row>
    <row r="34" s="386" customFormat="1" ht="13.5" customHeight="1" spans="1:7">
      <c r="A34" s="438" t="s">
        <v>993</v>
      </c>
      <c r="B34" s="408" t="s">
        <v>1051</v>
      </c>
      <c r="C34" s="413">
        <f ca="1">IF(B1="",IF(F34=100%,'数据-取费表'!M16,'数据-取费表'!O16),IF(F34=100%,INDIRECT("'数据-取费表'!m"&amp;$G$1)+INDIRECT("'数据-取费表'!t"&amp;$G$1),INDIRECT("'数据-取费表'!o"&amp;$G$1)+INDIRECT("'数据-取费表'!aq"&amp;$G$1)))</f>
        <v>95</v>
      </c>
      <c r="D34" s="410"/>
      <c r="E34" s="413"/>
      <c r="F34" s="459">
        <f ca="1">IF('数据-取费表'!B24=0,1,IF(B1="",'数据-取费表'!N16,INDIRECT("'数据-取费表'!n"&amp;$G$1)))</f>
        <v>1</v>
      </c>
      <c r="G34" s="412" t="s">
        <v>1052</v>
      </c>
    </row>
    <row r="35" ht="13.5" customHeight="1" spans="1:7">
      <c r="A35" s="438" t="s">
        <v>995</v>
      </c>
      <c r="B35" s="408" t="s">
        <v>1053</v>
      </c>
      <c r="C35" s="413">
        <f ca="1">ROUND(C34*F35,0)</f>
        <v>3</v>
      </c>
      <c r="D35" s="413"/>
      <c r="E35" s="413"/>
      <c r="F35" s="460">
        <f>'数据-取费表'!B33</f>
        <v>0.03</v>
      </c>
      <c r="G35" s="412" t="s">
        <v>1054</v>
      </c>
    </row>
    <row r="36" ht="24" spans="1:7">
      <c r="A36" s="438" t="s">
        <v>997</v>
      </c>
      <c r="B36" s="408" t="s">
        <v>1055</v>
      </c>
      <c r="C36" s="413">
        <f ca="1">ROUND(IF(B1="",SUMIF('数据-取费表'!C:C,"住宅",IF(F34=100%,'数据-取费表'!M:M,'数据-取费表'!O:O))*F36,IF(INDIRECT("'数据-取费表'!c"&amp;$G$1)="住宅",IF(F34=100%,INDIRECT("'数据-取费表'!m"&amp;$G$1)*F36,INDIRECT("'数据-取费表'!o"&amp;$G$1)*F36),0)),0)</f>
        <v>5</v>
      </c>
      <c r="D36" s="413"/>
      <c r="E36" s="413"/>
      <c r="F36" s="460">
        <f>'数据-取费表'!B34</f>
        <v>0.05</v>
      </c>
      <c r="G36" s="461" t="s">
        <v>1056</v>
      </c>
    </row>
    <row r="37" s="386" customFormat="1" ht="13.5" customHeight="1" spans="1:7">
      <c r="A37" s="438" t="s">
        <v>1037</v>
      </c>
      <c r="B37" s="408" t="s">
        <v>1057</v>
      </c>
      <c r="C37" s="451">
        <f ca="1">ROUND(E37*D37*F34/10000,0)</f>
        <v>6</v>
      </c>
      <c r="D37" s="410">
        <f ca="1">D19</f>
        <v>211.57</v>
      </c>
      <c r="E37" s="451">
        <f>'数据-取费表'!B35</f>
        <v>300</v>
      </c>
      <c r="F37" s="460"/>
      <c r="G37" s="462" t="s">
        <v>1058</v>
      </c>
    </row>
    <row r="38" ht="13.5" customHeight="1" spans="1:7">
      <c r="A38" s="438" t="s">
        <v>1059</v>
      </c>
      <c r="B38" s="408" t="s">
        <v>925</v>
      </c>
      <c r="C38" s="413">
        <f ca="1">ROUND(C34*F38,0)</f>
        <v>1</v>
      </c>
      <c r="D38" s="413"/>
      <c r="E38" s="413"/>
      <c r="F38" s="460">
        <f>'数据-取费表'!B36</f>
        <v>0.015</v>
      </c>
      <c r="G38" s="412" t="s">
        <v>1054</v>
      </c>
    </row>
    <row r="39" s="384" customFormat="1" ht="13.5" customHeight="1" spans="1:7">
      <c r="A39" s="402" t="s">
        <v>1020</v>
      </c>
      <c r="B39" s="403" t="s">
        <v>1023</v>
      </c>
      <c r="C39" s="430">
        <f ca="1">ROUND(C33*F20,0)</f>
        <v>3</v>
      </c>
      <c r="D39" s="430"/>
      <c r="E39" s="430"/>
      <c r="F39" s="431">
        <f>F20</f>
        <v>0.025</v>
      </c>
      <c r="G39" s="435" t="s">
        <v>1060</v>
      </c>
    </row>
    <row r="40" s="384" customFormat="1" ht="13.5" customHeight="1" spans="1:7">
      <c r="A40" s="402" t="s">
        <v>1022</v>
      </c>
      <c r="B40" s="403" t="s">
        <v>1026</v>
      </c>
      <c r="C40" s="2498">
        <f>F21</f>
        <v>0.025</v>
      </c>
      <c r="D40" s="434" t="s">
        <v>1061</v>
      </c>
      <c r="E40" s="430"/>
      <c r="F40" s="431">
        <f>F21</f>
        <v>0.025</v>
      </c>
      <c r="G40" s="435" t="s">
        <v>1062</v>
      </c>
    </row>
    <row r="41" s="384" customFormat="1" ht="13.5" customHeight="1" spans="1:7">
      <c r="A41" s="402" t="s">
        <v>1025</v>
      </c>
      <c r="B41" s="403" t="s">
        <v>1030</v>
      </c>
      <c r="C41" s="430">
        <f ca="1">ROUND(SUM(C42:C43),0)</f>
        <v>5</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ROUND(IF('数据-取费表'!B22&lt;=1,C33*F22*'数据-取费表'!B21/2,C33*(POWER((1+F22),'数据-取费表'!B21/2)-1)),0)</f>
        <v>5</v>
      </c>
      <c r="D42" s="440"/>
      <c r="E42" s="440"/>
      <c r="F42" s="441"/>
      <c r="G42" s="464" t="s">
        <v>1063</v>
      </c>
    </row>
    <row r="43" ht="13.5" customHeight="1" spans="1:7">
      <c r="A43" s="438" t="s">
        <v>995</v>
      </c>
      <c r="B43" s="408" t="s">
        <v>1033</v>
      </c>
      <c r="C43" s="440">
        <f ca="1">ROUND(IF('数据-取费表'!B22&lt;=1,C39*F22*'数据-取费表'!B21/2,C39*(POWER((1+F22),'数据-取费表'!B21/2)-1)),0)</f>
        <v>0</v>
      </c>
      <c r="D43" s="440"/>
      <c r="E43" s="440"/>
      <c r="F43" s="441"/>
      <c r="G43" s="465"/>
    </row>
    <row r="44" ht="13.5" customHeight="1" spans="1:7">
      <c r="A44" s="438" t="s">
        <v>997</v>
      </c>
      <c r="B44" s="408" t="s">
        <v>1035</v>
      </c>
      <c r="C44" s="440">
        <f>ROUND(IF('数据-取费表'!B22&lt;=1,C40*F22*'数据-取费表'!B21/2,C40*(POWER((1+F22),'数据-取费表'!B21/2)-1)),4)</f>
        <v>0.0012</v>
      </c>
      <c r="D44" s="440"/>
      <c r="E44" s="440"/>
      <c r="F44" s="441"/>
      <c r="G44" s="466"/>
    </row>
    <row r="45" s="384" customFormat="1" ht="13.5" customHeight="1" spans="1:7">
      <c r="A45" s="402" t="s">
        <v>1029</v>
      </c>
      <c r="B45" s="446" t="s">
        <v>1040</v>
      </c>
      <c r="C45" s="447">
        <f ca="1">C46</f>
        <v>23</v>
      </c>
      <c r="D45" s="433">
        <f ca="1">C47</f>
        <v>0.005</v>
      </c>
      <c r="E45" s="434" t="s">
        <v>1061</v>
      </c>
      <c r="F45" s="448">
        <f ca="1">F27</f>
        <v>0.2</v>
      </c>
      <c r="G45" s="449" t="s">
        <v>1064</v>
      </c>
    </row>
    <row r="46" s="384" customFormat="1" ht="13.5" customHeight="1" spans="1:7">
      <c r="A46" s="438" t="s">
        <v>993</v>
      </c>
      <c r="B46" s="450" t="s">
        <v>1065</v>
      </c>
      <c r="C46" s="451">
        <f ca="1">ROUND((C33+C39)*F27,0)</f>
        <v>23</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2498">
        <f>ROUND(F30/(1+'数据-取费表'!C42),4)</f>
        <v>0.0533</v>
      </c>
      <c r="D48" s="434" t="s">
        <v>1061</v>
      </c>
      <c r="E48" s="430"/>
      <c r="F48" s="437">
        <f>F30</f>
        <v>0.056</v>
      </c>
      <c r="G48" s="435" t="s">
        <v>1067</v>
      </c>
    </row>
    <row r="49" ht="16.5" customHeight="1" spans="1:7">
      <c r="A49" s="402" t="s">
        <v>1044</v>
      </c>
      <c r="B49" s="403" t="s">
        <v>1068</v>
      </c>
      <c r="C49" s="430">
        <f ca="1">ROUND((C33+C39+C41+C45)/(1-C40-D41-D45-C48),0)</f>
        <v>154</v>
      </c>
      <c r="D49" s="430"/>
      <c r="E49" s="430"/>
      <c r="F49" s="468"/>
      <c r="G49" s="435" t="s">
        <v>1069</v>
      </c>
    </row>
    <row r="50" s="386" customFormat="1" ht="24" spans="1:7">
      <c r="A50" s="402" t="s">
        <v>1070</v>
      </c>
      <c r="B50" s="403" t="s">
        <v>1071</v>
      </c>
      <c r="C50" s="430"/>
      <c r="D50" s="430"/>
      <c r="E50" s="430"/>
      <c r="F50" s="468">
        <f>IF('数据-取费表'!B24=0,'数据-取费表'!N16,1)</f>
        <v>0.72</v>
      </c>
      <c r="G50" s="449" t="s">
        <v>1072</v>
      </c>
    </row>
    <row r="51" ht="16.5" customHeight="1" spans="1:7">
      <c r="A51" s="402" t="s">
        <v>1073</v>
      </c>
      <c r="B51" s="403" t="s">
        <v>1074</v>
      </c>
      <c r="C51" s="430">
        <f ca="1">ROUND(C49*F50,0)</f>
        <v>111</v>
      </c>
      <c r="D51" s="430"/>
      <c r="E51" s="430"/>
      <c r="F51" s="468"/>
      <c r="G51" s="435" t="s">
        <v>1075</v>
      </c>
    </row>
    <row r="52" s="383" customFormat="1" ht="16.5" spans="1:7">
      <c r="A52" s="469" t="s">
        <v>1076</v>
      </c>
      <c r="B52" s="470"/>
      <c r="C52" s="471">
        <f ca="1">C31+C51</f>
        <v>120</v>
      </c>
      <c r="D52" s="470"/>
      <c r="E52" s="470"/>
      <c r="F52" s="470"/>
      <c r="G52" s="472"/>
    </row>
    <row r="55" ht="15" spans="2:3">
      <c r="B55" s="473" t="s">
        <v>1077</v>
      </c>
      <c r="C55" s="474"/>
    </row>
    <row r="56" spans="2:3">
      <c r="B56" s="475" t="s">
        <v>1078</v>
      </c>
      <c r="C56" s="477">
        <f ca="1">1-C57</f>
        <v>0.075</v>
      </c>
    </row>
    <row r="57" spans="2:3">
      <c r="B57" s="475" t="s">
        <v>1079</v>
      </c>
      <c r="C57" s="476">
        <f ca="1">ROUND(C51/C52,3)</f>
        <v>0.925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1" customWidth="1"/>
    <col min="2" max="9" width="10" style="3701" customWidth="1"/>
    <col min="10" max="16384" width="9" style="3701"/>
  </cols>
  <sheetData>
    <row r="36" spans="1:2">
      <c r="A36" s="3700" t="s">
        <v>75</v>
      </c>
      <c r="B36" s="3700" t="s">
        <v>76</v>
      </c>
    </row>
    <row r="37" ht="27.75" customHeight="1" spans="1:9">
      <c r="A37" s="3700"/>
      <c r="B37" s="3702" t="str">
        <f>项目基本情况!B1</f>
        <v>北京市房地产市场价值预评估</v>
      </c>
      <c r="C37" s="3702"/>
      <c r="D37" s="3702"/>
      <c r="E37" s="3702"/>
      <c r="F37" s="3702"/>
      <c r="G37" s="3702"/>
      <c r="H37" s="3702"/>
      <c r="I37" s="3702"/>
    </row>
    <row r="38" spans="1:2">
      <c r="A38" s="3703"/>
      <c r="B38" s="3703"/>
    </row>
    <row r="39" spans="1:2">
      <c r="A39" s="3700" t="s">
        <v>75</v>
      </c>
      <c r="B39" s="3700" t="s">
        <v>77</v>
      </c>
    </row>
    <row r="40" spans="1:2">
      <c r="A40" s="3700"/>
      <c r="B40" s="3704">
        <f>项目基本情况!B5</f>
        <v>0</v>
      </c>
    </row>
    <row r="41" spans="1:2">
      <c r="A41" s="3700"/>
      <c r="B41" s="3700"/>
    </row>
    <row r="42" spans="1:2">
      <c r="A42" s="3700" t="s">
        <v>75</v>
      </c>
      <c r="B42" s="3700" t="s">
        <v>78</v>
      </c>
    </row>
    <row r="43" spans="1:2">
      <c r="A43" s="3700"/>
      <c r="B43" s="3704" t="s">
        <v>79</v>
      </c>
    </row>
    <row r="44" spans="1:2">
      <c r="A44" s="3700"/>
      <c r="B44" s="3700"/>
    </row>
    <row r="45" spans="1:2">
      <c r="A45" s="3700" t="s">
        <v>75</v>
      </c>
      <c r="B45" s="3700" t="s">
        <v>80</v>
      </c>
    </row>
    <row r="46" s="3700" customFormat="1" ht="12.75" spans="2:2">
      <c r="B46" s="3704" t="str">
        <f ca="1">项目基本情况!K4</f>
        <v>（注册号：0)、（注册号：0)</v>
      </c>
    </row>
    <row r="47" spans="1:2">
      <c r="A47" s="3700"/>
      <c r="B47" s="3700" t="str">
        <f ca="1">项目基本情况!K5</f>
        <v>（注册号：0)、（注册号：0)</v>
      </c>
    </row>
    <row r="48" spans="1:2">
      <c r="A48" s="3700" t="s">
        <v>75</v>
      </c>
      <c r="B48" s="3700" t="s">
        <v>81</v>
      </c>
    </row>
    <row r="49" spans="2:2">
      <c r="B49" s="370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8" width="10.75" style="388" customWidth="1"/>
    <col min="9" max="254" width="9" style="388" customWidth="1"/>
    <col min="255" max="16384" width="8.375" style="388"/>
  </cols>
  <sheetData>
    <row r="1" s="382" customFormat="1" ht="20.25" spans="1:8">
      <c r="A1" s="390" t="s">
        <v>983</v>
      </c>
      <c r="B1" s="2487"/>
      <c r="C1" s="2488" t="s">
        <v>1080</v>
      </c>
      <c r="D1" s="392"/>
      <c r="E1" s="392"/>
      <c r="F1" s="392"/>
      <c r="G1" s="2489">
        <f>MATCH(B1,'数据-取费表'!A6:A16,0)+5</f>
        <v>7</v>
      </c>
      <c r="H1" s="2328" t="str">
        <f>IF(ISERROR(FIND("住宅",B1)),"非住宅","住宅")</f>
        <v>非住宅</v>
      </c>
    </row>
    <row r="2" s="382" customFormat="1" ht="18" customHeight="1" spans="1:7">
      <c r="A2" s="394" t="s">
        <v>984</v>
      </c>
      <c r="B2" s="2490">
        <f ca="1">ROUND(IF(D2="——",C52/10000,C52/10000-E2),4)</f>
        <v>125.3429</v>
      </c>
      <c r="C2" s="393" t="s">
        <v>985</v>
      </c>
      <c r="D2" s="2491" t="s">
        <v>124</v>
      </c>
      <c r="E2" s="2492" t="e">
        <f ca="1">SUMIF(INDIRECT("'"&amp;G2&amp;"'"&amp;"!A:A"),"承租人权益价值",INDIRECT("'"&amp;G2&amp;"'"&amp;"!c:c"))</f>
        <v>#REF!</v>
      </c>
      <c r="F2" s="2493" t="s">
        <v>985</v>
      </c>
      <c r="G2" s="2494"/>
    </row>
    <row r="3" s="382" customFormat="1" ht="18" customHeight="1" spans="1:7">
      <c r="A3" s="397" t="s">
        <v>986</v>
      </c>
      <c r="B3" s="398">
        <f ca="1">ROUND(B2*10000/(IF(B1="",'数据-汇总表'!E3,INDIRECT("'数据-取费表'!k"&amp;$G$1))),0)</f>
        <v>5924</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33851</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IF(G8="已包含在土地购买价格中",0,C9+C10)</f>
        <v>33851</v>
      </c>
      <c r="D8" s="415"/>
      <c r="E8" s="413"/>
      <c r="F8" s="414"/>
      <c r="G8" s="2495"/>
    </row>
    <row r="9" s="384" customFormat="1" ht="13.5" customHeight="1" spans="1:7">
      <c r="A9" s="417" t="s">
        <v>999</v>
      </c>
      <c r="B9" s="418" t="s">
        <v>1000</v>
      </c>
      <c r="C9" s="419">
        <f ca="1">ROUND(D9*E9,0)</f>
        <v>33851</v>
      </c>
      <c r="D9" s="420">
        <f ca="1">IF(B1="",'数据-汇总表'!E5,IF(INDIRECT("'数据-取费表'!c"&amp;$G$1)="住宅",INDIRECT("'数据-取费表'!k"&amp;$G$1),0))</f>
        <v>211.57</v>
      </c>
      <c r="E9" s="419">
        <f>'数据-取费表'!B27</f>
        <v>160</v>
      </c>
      <c r="F9" s="414"/>
      <c r="G9" s="421"/>
    </row>
    <row r="10" s="384" customFormat="1" ht="13.5" customHeight="1" spans="1:7">
      <c r="A10" s="417" t="s">
        <v>1002</v>
      </c>
      <c r="B10" s="418" t="s">
        <v>1003</v>
      </c>
      <c r="C10" s="419">
        <f ca="1">ROUND(D10*E10,0)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IF(G19="已包含在土地取得成本中","0",ROUND(D19*E19,0))</f>
        <v>63471</v>
      </c>
      <c r="D19" s="428">
        <f ca="1">D9+D10</f>
        <v>211.57</v>
      </c>
      <c r="E19" s="404">
        <f>'数据-取费表'!B31</f>
        <v>300</v>
      </c>
      <c r="F19" s="429"/>
      <c r="G19" s="2495"/>
    </row>
    <row r="20" s="384" customFormat="1" ht="13.5" customHeight="1" spans="1:7">
      <c r="A20" s="402" t="s">
        <v>1022</v>
      </c>
      <c r="B20" s="403" t="s">
        <v>1023</v>
      </c>
      <c r="C20" s="430">
        <f ca="1">ROUND((C5+C19)*F20,0)</f>
        <v>2433</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2496">
        <f ca="1">ROUND(SUM(C23:C25),0)</f>
        <v>9581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2497">
        <f ca="1">ROUND(IF('数据-取费表'!B22&lt;=1,C5*F22*'数据-取费表'!B22,C5*(POWER((1+F22),'数据-取费表'!B22)-1)),0)</f>
        <v>3292</v>
      </c>
      <c r="D23" s="440"/>
      <c r="E23" s="440"/>
      <c r="F23" s="441"/>
      <c r="G23" s="442" t="s">
        <v>1032</v>
      </c>
    </row>
    <row r="24" s="384" customFormat="1" ht="13.5" customHeight="1" spans="1:7">
      <c r="A24" s="438" t="s">
        <v>995</v>
      </c>
      <c r="B24" s="408" t="s">
        <v>1033</v>
      </c>
      <c r="C24" s="2497">
        <f ca="1">ROUND(IF('数据-取费表'!B22&lt;=1,C19*F22*('数据-取费表'!B19/2+'数据-取费表'!B20),C19*(POWER((1+F22),('数据-取费表'!B19/2+'数据-取费表'!B20))-1)),0)</f>
        <v>6173</v>
      </c>
      <c r="D24" s="440"/>
      <c r="E24" s="440"/>
      <c r="F24" s="441"/>
      <c r="G24" s="442" t="s">
        <v>1034</v>
      </c>
    </row>
    <row r="25" s="384" customFormat="1" ht="24" spans="1:7">
      <c r="A25" s="438" t="s">
        <v>997</v>
      </c>
      <c r="B25" s="408" t="s">
        <v>1035</v>
      </c>
      <c r="C25" s="2497">
        <f ca="1">ROUND(IF('数据-取费表'!B22&lt;=1,C20*F22*'数据-取费表'!B22/2,C20*(POWER((1+F22),'数据-取费表'!B22/2)-1)),0)</f>
        <v>116</v>
      </c>
      <c r="D25" s="440"/>
      <c r="E25" s="443"/>
      <c r="F25" s="441"/>
      <c r="G25" s="444" t="s">
        <v>1036</v>
      </c>
    </row>
    <row r="26" s="384" customFormat="1" spans="1:7">
      <c r="A26" s="438" t="s">
        <v>1037</v>
      </c>
      <c r="B26" s="408" t="s">
        <v>1038</v>
      </c>
      <c r="C26" s="440">
        <f>ROUND(IF('数据-取费表'!B22&lt;=1,F21*F22*'数据-取费表'!B22/2,F21*(POWER((1+F22),'数据-取费表'!B22/2)-1)),4)</f>
        <v>0.0012</v>
      </c>
      <c r="D26" s="440"/>
      <c r="E26" s="443"/>
      <c r="F26" s="441"/>
      <c r="G26" s="445"/>
    </row>
    <row r="27" s="384" customFormat="1" ht="24.75" spans="1:7">
      <c r="A27" s="402" t="s">
        <v>1039</v>
      </c>
      <c r="B27" s="446" t="s">
        <v>1040</v>
      </c>
      <c r="C27" s="447">
        <f ca="1">C28</f>
        <v>19951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ROUND((C5+C19+C20)*F27,0)</f>
        <v>19951</v>
      </c>
      <c r="D28" s="433"/>
      <c r="E28" s="434"/>
      <c r="F28" s="448"/>
      <c r="G28" s="449"/>
    </row>
    <row r="29" s="384" customFormat="1" ht="13.5" customHeight="1" spans="1:7">
      <c r="A29" s="438" t="s">
        <v>995</v>
      </c>
      <c r="B29" s="450" t="s">
        <v>1043</v>
      </c>
      <c r="C29" s="440">
        <f ca="1">ROUND(C21*F27,4)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141220</v>
      </c>
      <c r="D31" s="453"/>
      <c r="E31" s="404"/>
      <c r="F31" s="454"/>
      <c r="G31" s="435" t="s">
        <v>1048</v>
      </c>
    </row>
    <row r="32" s="383" customFormat="1" ht="15.75" spans="1:7">
      <c r="A32" s="455" t="s">
        <v>1081</v>
      </c>
      <c r="B32" s="456"/>
      <c r="C32" s="456"/>
      <c r="D32" s="456"/>
      <c r="E32" s="456"/>
      <c r="F32" s="456"/>
      <c r="G32" s="457"/>
    </row>
    <row r="33" s="384" customFormat="1" ht="13.5" customHeight="1" spans="1:7">
      <c r="A33" s="402" t="s">
        <v>989</v>
      </c>
      <c r="B33" s="403" t="s">
        <v>1082</v>
      </c>
      <c r="C33" s="458">
        <f ca="1">SUM(C34:C38)</f>
        <v>1105982</v>
      </c>
      <c r="D33" s="430"/>
      <c r="E33" s="405"/>
      <c r="F33" s="443"/>
      <c r="G33" s="435"/>
    </row>
    <row r="34" s="386" customFormat="1" ht="13.5" customHeight="1" spans="1:7">
      <c r="A34" s="438" t="s">
        <v>993</v>
      </c>
      <c r="B34" s="408" t="s">
        <v>1051</v>
      </c>
      <c r="C34" s="413">
        <f ca="1">ROUND(IF(B1="",SUMPRODUCT('数据-取费表'!K6:K14,'数据-取费表'!L6:L14),INDIRECT("'数据-取费表'!l"&amp;$G$1)*INDIRECT("'数据-取费表'!k"&amp;$G$1)+'数据-取费表'!L14*INDIRECT("'数据-取费表'!S"&amp;$G$1)),0)</f>
        <v>952065</v>
      </c>
      <c r="D34" s="410"/>
      <c r="E34" s="413"/>
      <c r="F34" s="459"/>
      <c r="G34" s="412"/>
    </row>
    <row r="35" ht="13.5" customHeight="1" spans="1:7">
      <c r="A35" s="438" t="s">
        <v>995</v>
      </c>
      <c r="B35" s="408" t="s">
        <v>1053</v>
      </c>
      <c r="C35" s="413">
        <f ca="1">ROUND(C34*F35,0)</f>
        <v>28562</v>
      </c>
      <c r="D35" s="413"/>
      <c r="E35" s="413"/>
      <c r="F35" s="460">
        <f>'数据-取费表'!B33</f>
        <v>0.03</v>
      </c>
      <c r="G35" s="412" t="s">
        <v>1054</v>
      </c>
    </row>
    <row r="36" ht="24" spans="1:7">
      <c r="A36" s="438" t="s">
        <v>997</v>
      </c>
      <c r="B36" s="408" t="s">
        <v>1055</v>
      </c>
      <c r="C36" s="413">
        <f ca="1">ROUND(IF(B1="",SUM('数据-取费表'!AP6:AP13)*F36,IF(INDIRECT("'数据-取费表'!c"&amp;$G$1)="住宅",INDIRECT("'数据-取费表'!k"&amp;$G$1)*INDIRECT("'数据-取费表'!l"&amp;$G$1)*F36,0)),0)</f>
        <v>47603</v>
      </c>
      <c r="D36" s="413"/>
      <c r="E36" s="413"/>
      <c r="F36" s="460">
        <f>'数据-取费表'!B34</f>
        <v>0.05</v>
      </c>
      <c r="G36" s="461" t="s">
        <v>1056</v>
      </c>
    </row>
    <row r="37" s="386" customFormat="1" ht="13.5" customHeight="1" spans="1:7">
      <c r="A37" s="438" t="s">
        <v>1037</v>
      </c>
      <c r="B37" s="408" t="s">
        <v>1057</v>
      </c>
      <c r="C37" s="451">
        <f ca="1">ROUND(E37*D37,0)</f>
        <v>63471</v>
      </c>
      <c r="D37" s="410">
        <f ca="1">D19</f>
        <v>211.57</v>
      </c>
      <c r="E37" s="451">
        <f>'数据-取费表'!B35</f>
        <v>300</v>
      </c>
      <c r="F37" s="460"/>
      <c r="G37" s="462"/>
    </row>
    <row r="38" ht="13.5" customHeight="1" spans="1:7">
      <c r="A38" s="438" t="s">
        <v>1059</v>
      </c>
      <c r="B38" s="408" t="s">
        <v>925</v>
      </c>
      <c r="C38" s="413">
        <f ca="1">ROUND(C34*F38,0)</f>
        <v>14281</v>
      </c>
      <c r="D38" s="413"/>
      <c r="E38" s="413"/>
      <c r="F38" s="460">
        <f>'数据-取费表'!B36</f>
        <v>0.015</v>
      </c>
      <c r="G38" s="412" t="s">
        <v>1054</v>
      </c>
    </row>
    <row r="39" s="384" customFormat="1" ht="13.5" customHeight="1" spans="1:7">
      <c r="A39" s="402" t="s">
        <v>1020</v>
      </c>
      <c r="B39" s="403" t="s">
        <v>1023</v>
      </c>
      <c r="C39" s="430">
        <f ca="1">ROUND(C33*F20,0)</f>
        <v>27650</v>
      </c>
      <c r="D39" s="430"/>
      <c r="E39" s="430"/>
      <c r="F39" s="431">
        <f>F20</f>
        <v>0.025</v>
      </c>
      <c r="G39" s="435" t="s">
        <v>1060</v>
      </c>
    </row>
    <row r="40" s="384" customFormat="1" ht="13.5" customHeight="1" spans="1:7">
      <c r="A40" s="402" t="s">
        <v>1022</v>
      </c>
      <c r="B40" s="403" t="s">
        <v>1026</v>
      </c>
      <c r="C40" s="2498">
        <f>F21</f>
        <v>0.025</v>
      </c>
      <c r="D40" s="434" t="s">
        <v>1061</v>
      </c>
      <c r="E40" s="430"/>
      <c r="F40" s="431">
        <f>F21</f>
        <v>0.025</v>
      </c>
      <c r="G40" s="435" t="s">
        <v>1062</v>
      </c>
    </row>
    <row r="41" s="384" customFormat="1" ht="13.5" customHeight="1" spans="1:7">
      <c r="A41" s="402" t="s">
        <v>1025</v>
      </c>
      <c r="B41" s="403" t="s">
        <v>1030</v>
      </c>
      <c r="C41" s="430">
        <f ca="1">ROUND(SUM(C42:C43),0)</f>
        <v>53847</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ROUND(IF('数据-取费表'!B22&lt;=1,C33*F22*'数据-取费表'!B20/2,C33*(POWER((1+F22),'数据-取费表'!B20/2)-1)),0)</f>
        <v>52534</v>
      </c>
      <c r="D42" s="440"/>
      <c r="E42" s="440"/>
      <c r="F42" s="441"/>
      <c r="G42" s="464" t="s">
        <v>1083</v>
      </c>
    </row>
    <row r="43" ht="13.5" customHeight="1" spans="1:7">
      <c r="A43" s="438" t="s">
        <v>995</v>
      </c>
      <c r="B43" s="408" t="s">
        <v>1033</v>
      </c>
      <c r="C43" s="440">
        <f ca="1">ROUND(IF('数据-取费表'!B22&lt;=1,C39*F22*'数据-取费表'!B20/2,C39*(POWER((1+F22),'数据-取费表'!B20/2)-1)),0)</f>
        <v>1313</v>
      </c>
      <c r="D43" s="440"/>
      <c r="E43" s="440"/>
      <c r="F43" s="441"/>
      <c r="G43" s="465"/>
    </row>
    <row r="44" ht="13.5" customHeight="1" spans="1:7">
      <c r="A44" s="438" t="s">
        <v>997</v>
      </c>
      <c r="B44" s="408" t="s">
        <v>1035</v>
      </c>
      <c r="C44" s="440">
        <f>ROUND(IF('数据-取费表'!B22&lt;=1,C40*F22*'数据-取费表'!B20/2,C40*(POWER((1+F22),'数据-取费表'!B20/2)-1)),4)</f>
        <v>0.0012</v>
      </c>
      <c r="D44" s="440"/>
      <c r="E44" s="440"/>
      <c r="F44" s="441"/>
      <c r="G44" s="466"/>
    </row>
    <row r="45" s="384" customFormat="1" ht="13.5" customHeight="1" spans="1:7">
      <c r="A45" s="402" t="s">
        <v>1029</v>
      </c>
      <c r="B45" s="446" t="s">
        <v>1040</v>
      </c>
      <c r="C45" s="447">
        <f ca="1">C46</f>
        <v>226726</v>
      </c>
      <c r="D45" s="433">
        <f ca="1">C47</f>
        <v>0.005</v>
      </c>
      <c r="E45" s="434" t="s">
        <v>1061</v>
      </c>
      <c r="F45" s="448">
        <f ca="1">F27</f>
        <v>0.2</v>
      </c>
      <c r="G45" s="449" t="s">
        <v>1064</v>
      </c>
    </row>
    <row r="46" s="384" customFormat="1" ht="13.5" customHeight="1" spans="1:7">
      <c r="A46" s="438" t="s">
        <v>993</v>
      </c>
      <c r="B46" s="450" t="s">
        <v>1065</v>
      </c>
      <c r="C46" s="451">
        <f ca="1">ROUND((C33+C39)*F27,0)</f>
        <v>226726</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463">
        <f>ROUND(F30/(1+'数据-取费表'!C42),4)</f>
        <v>0.0533</v>
      </c>
      <c r="D48" s="434" t="s">
        <v>1061</v>
      </c>
      <c r="E48" s="430"/>
      <c r="F48" s="437">
        <f>F30</f>
        <v>0.056</v>
      </c>
      <c r="G48" s="435" t="s">
        <v>1067</v>
      </c>
    </row>
    <row r="49" ht="16.5" customHeight="1" spans="1:7">
      <c r="A49" s="402" t="s">
        <v>1044</v>
      </c>
      <c r="B49" s="403" t="s">
        <v>1084</v>
      </c>
      <c r="C49" s="430">
        <f ca="1">ROUND((C33+C39+C41+C45)/(1-C40-D41-D45-C48),0)</f>
        <v>1544735</v>
      </c>
      <c r="D49" s="430"/>
      <c r="E49" s="430"/>
      <c r="F49" s="468"/>
      <c r="G49" s="435" t="s">
        <v>1069</v>
      </c>
    </row>
    <row r="50" s="386" customFormat="1" spans="1:7">
      <c r="A50" s="402" t="s">
        <v>1070</v>
      </c>
      <c r="B50" s="403" t="s">
        <v>1071</v>
      </c>
      <c r="C50" s="430"/>
      <c r="D50" s="430"/>
      <c r="E50" s="430"/>
      <c r="F50" s="468">
        <f>IF('数据-取费表'!B24=0,'数据-取费表'!N16,1)</f>
        <v>0.72</v>
      </c>
      <c r="G50" s="449"/>
    </row>
    <row r="51" ht="16.5" customHeight="1" spans="1:7">
      <c r="A51" s="402" t="s">
        <v>1073</v>
      </c>
      <c r="B51" s="403" t="s">
        <v>1085</v>
      </c>
      <c r="C51" s="430">
        <f ca="1">ROUND(C49*F50,0)</f>
        <v>1112209</v>
      </c>
      <c r="D51" s="430"/>
      <c r="E51" s="430"/>
      <c r="F51" s="468"/>
      <c r="G51" s="435" t="s">
        <v>1075</v>
      </c>
    </row>
    <row r="52" s="383" customFormat="1" ht="16.5" spans="1:7">
      <c r="A52" s="469" t="s">
        <v>1076</v>
      </c>
      <c r="B52" s="470"/>
      <c r="C52" s="471">
        <f ca="1">C31+C51</f>
        <v>1253429</v>
      </c>
      <c r="D52" s="470"/>
      <c r="E52" s="470"/>
      <c r="F52" s="470"/>
      <c r="G52" s="472"/>
    </row>
    <row r="55" ht="15" spans="2:3">
      <c r="B55" s="473" t="s">
        <v>1077</v>
      </c>
      <c r="C55" s="474"/>
    </row>
    <row r="56" spans="2:3">
      <c r="B56" s="475" t="s">
        <v>1078</v>
      </c>
      <c r="C56" s="477">
        <f ca="1">1-C57</f>
        <v>0.113</v>
      </c>
    </row>
    <row r="57" spans="2:3">
      <c r="B57" s="475" t="s">
        <v>1079</v>
      </c>
      <c r="C57" s="476">
        <f ca="1">ROUND(C51/C52,3)</f>
        <v>0.887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90" customWidth="1"/>
    <col min="2" max="2" width="25.75" style="2401" customWidth="1"/>
    <col min="3" max="3" width="10.375" style="2402" customWidth="1"/>
    <col min="4" max="4" width="9.875" style="2401" customWidth="1"/>
    <col min="5" max="5" width="9.5" style="1090" customWidth="1"/>
    <col min="6" max="6" width="10.125" style="2401" customWidth="1"/>
    <col min="7" max="7" width="10.7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ht="20.25" spans="1:11">
      <c r="A1" s="390" t="s">
        <v>1086</v>
      </c>
      <c r="B1" s="2105"/>
      <c r="C1" s="2403"/>
      <c r="D1" s="2404"/>
      <c r="E1" s="2405"/>
      <c r="F1" s="2405"/>
      <c r="G1" s="2406"/>
      <c r="H1" s="2405"/>
      <c r="I1" s="2405"/>
      <c r="J1" s="2405"/>
      <c r="K1" s="2474">
        <f>MATCH(C1,'数据-取费表'!A6:A16,0)+5</f>
        <v>7</v>
      </c>
    </row>
    <row r="2" ht="18" customHeight="1" spans="1:11">
      <c r="A2" s="394" t="s">
        <v>984</v>
      </c>
      <c r="B2" s="398">
        <f ca="1">C32</f>
        <v>-4</v>
      </c>
      <c r="C2" s="2407" t="s">
        <v>1087</v>
      </c>
      <c r="D2" s="2407"/>
      <c r="E2" s="2405"/>
      <c r="F2" s="2405"/>
      <c r="G2" s="2405"/>
      <c r="H2" s="2405"/>
      <c r="I2" s="2405"/>
      <c r="J2" s="2405"/>
      <c r="K2" s="2405"/>
    </row>
    <row r="3" ht="18" customHeight="1" spans="1:11">
      <c r="A3" s="397" t="s">
        <v>986</v>
      </c>
      <c r="B3" s="398">
        <f ca="1">ROUND(B2*10000/IF(C1="",'数据-汇总表'!E3,INDIRECT("'数据-取费表'!K"&amp;$K$1)),0)</f>
        <v>-189</v>
      </c>
      <c r="C3" s="2407" t="s">
        <v>1088</v>
      </c>
      <c r="D3" s="2407"/>
      <c r="E3" s="2405"/>
      <c r="F3" s="2405"/>
      <c r="G3" s="2405"/>
      <c r="H3" s="2405"/>
      <c r="I3" s="2405"/>
      <c r="J3" s="2405"/>
      <c r="K3" s="2405"/>
    </row>
    <row r="4" s="2392" customFormat="1" ht="16.5" customHeight="1" spans="1:11">
      <c r="A4" s="2408" t="s">
        <v>1089</v>
      </c>
      <c r="B4" s="2409"/>
      <c r="C4" s="2410">
        <f>SUM(C8:K8)</f>
        <v>0</v>
      </c>
      <c r="D4" s="2409"/>
      <c r="E4" s="2409"/>
      <c r="F4" s="2409"/>
      <c r="G4" s="2409"/>
      <c r="H4" s="2409"/>
      <c r="I4" s="2409"/>
      <c r="J4" s="2409"/>
      <c r="K4" s="2475"/>
    </row>
    <row r="5" s="2393" customFormat="1" ht="15" spans="1:33">
      <c r="A5" s="2411" t="s">
        <v>1090</v>
      </c>
      <c r="B5" s="2412" t="s">
        <v>1091</v>
      </c>
      <c r="C5" s="2413"/>
      <c r="D5" s="2413"/>
      <c r="E5" s="2413"/>
      <c r="F5" s="2413"/>
      <c r="G5" s="2413"/>
      <c r="H5" s="2413"/>
      <c r="I5" s="2413"/>
      <c r="J5" s="2413"/>
      <c r="K5" s="2413"/>
      <c r="L5" s="2476"/>
      <c r="M5" s="2476"/>
      <c r="N5" s="2476"/>
      <c r="O5" s="2476"/>
      <c r="P5" s="2476"/>
      <c r="Q5" s="2476"/>
      <c r="R5" s="2476"/>
      <c r="S5" s="2476"/>
      <c r="T5" s="2476"/>
      <c r="U5" s="2476"/>
      <c r="V5" s="2476"/>
      <c r="W5" s="2476"/>
      <c r="X5" s="2476"/>
      <c r="Y5" s="2476"/>
      <c r="Z5" s="2476"/>
      <c r="AA5" s="2476"/>
      <c r="AB5" s="2476"/>
      <c r="AC5" s="2476"/>
      <c r="AD5" s="2476"/>
      <c r="AE5" s="2476"/>
      <c r="AF5" s="2476"/>
      <c r="AG5" s="2476"/>
    </row>
    <row r="6" s="2394" customFormat="1" ht="13.5" customHeight="1" spans="1:33">
      <c r="A6" s="2414" t="s">
        <v>894</v>
      </c>
      <c r="B6" s="2068" t="s">
        <v>1092</v>
      </c>
      <c r="C6" s="2415"/>
      <c r="D6" s="2415"/>
      <c r="E6" s="2415"/>
      <c r="F6" s="2415"/>
      <c r="G6" s="2415"/>
      <c r="H6" s="2415"/>
      <c r="I6" s="2415"/>
      <c r="J6" s="2415"/>
      <c r="K6" s="2477"/>
      <c r="L6" s="2478"/>
      <c r="M6" s="2478"/>
      <c r="N6" s="2478"/>
      <c r="O6" s="2478"/>
      <c r="P6" s="2478"/>
      <c r="Q6" s="2478"/>
      <c r="R6" s="2478"/>
      <c r="S6" s="2478"/>
      <c r="T6" s="2478"/>
      <c r="U6" s="2478"/>
      <c r="V6" s="2478"/>
      <c r="W6" s="2478"/>
      <c r="X6" s="2478"/>
      <c r="Y6" s="2478"/>
      <c r="Z6" s="2478"/>
      <c r="AA6" s="2478"/>
      <c r="AB6" s="2478"/>
      <c r="AC6" s="2478"/>
      <c r="AD6" s="2478"/>
      <c r="AE6" s="2478"/>
      <c r="AF6" s="2478"/>
      <c r="AG6" s="2478"/>
    </row>
    <row r="7" s="2394" customFormat="1" ht="13.5" customHeight="1" spans="1:33">
      <c r="A7" s="2414" t="s">
        <v>898</v>
      </c>
      <c r="B7" s="2068" t="s">
        <v>458</v>
      </c>
      <c r="C7" s="2416">
        <f>SUMIF('数据-汇总表'!$C19:$C33,假设开发法!C5,'数据-汇总表'!$E19:$E33)</f>
        <v>0</v>
      </c>
      <c r="D7" s="2416">
        <f>SUMIF('数据-汇总表'!$C19:$C33,假设开发法!D5,'数据-汇总表'!$E19:$E33)</f>
        <v>0</v>
      </c>
      <c r="E7" s="2416">
        <f>SUMIF('数据-汇总表'!$C19:$C33,假设开发法!E5,'数据-汇总表'!$E19:$E33)</f>
        <v>0</v>
      </c>
      <c r="F7" s="2416">
        <f>SUMIF('数据-汇总表'!$C19:$C33,假设开发法!F5,'数据-汇总表'!$E19:$E33)</f>
        <v>0</v>
      </c>
      <c r="G7" s="2416">
        <f>SUMIF('数据-汇总表'!$C19:$C33,假设开发法!G5,'数据-汇总表'!$E19:$E33)</f>
        <v>0</v>
      </c>
      <c r="H7" s="2416">
        <f>SUMIF('数据-汇总表'!$C19:$C33,假设开发法!H5,'数据-汇总表'!$E19:$E33)</f>
        <v>0</v>
      </c>
      <c r="I7" s="2416">
        <f>SUMIF('数据-汇总表'!$C19:$C33,假设开发法!I5,'数据-汇总表'!$E19:$E33)</f>
        <v>0</v>
      </c>
      <c r="J7" s="2416">
        <f>SUMIF('数据-汇总表'!$C19:$C33,假设开发法!J5,'数据-汇总表'!$E19:$E33)</f>
        <v>0</v>
      </c>
      <c r="K7" s="2479">
        <f>SUMIF('数据-汇总表'!$C19:$C33,假设开发法!K5,'数据-汇总表'!$E19:$E33)</f>
        <v>0</v>
      </c>
      <c r="L7" s="2478"/>
      <c r="M7" s="2478"/>
      <c r="N7" s="2478"/>
      <c r="O7" s="2478"/>
      <c r="P7" s="2478"/>
      <c r="Q7" s="2478"/>
      <c r="R7" s="2478"/>
      <c r="S7" s="2478"/>
      <c r="T7" s="2478"/>
      <c r="U7" s="2478"/>
      <c r="V7" s="2478"/>
      <c r="W7" s="2478"/>
      <c r="X7" s="2478"/>
      <c r="Y7" s="2478"/>
      <c r="Z7" s="2478"/>
      <c r="AA7" s="2478"/>
      <c r="AB7" s="2478"/>
      <c r="AC7" s="2478"/>
      <c r="AD7" s="2478"/>
      <c r="AE7" s="2478"/>
      <c r="AF7" s="2478"/>
      <c r="AG7" s="2478"/>
    </row>
    <row r="8" s="2394" customFormat="1" ht="13.5" customHeight="1" spans="1:33">
      <c r="A8" s="2417" t="s">
        <v>943</v>
      </c>
      <c r="B8" s="2418" t="s">
        <v>1093</v>
      </c>
      <c r="C8" s="2419"/>
      <c r="D8" s="2419"/>
      <c r="E8" s="2419"/>
      <c r="F8" s="2420"/>
      <c r="G8" s="2420"/>
      <c r="H8" s="2420"/>
      <c r="I8" s="2420"/>
      <c r="J8" s="2420"/>
      <c r="K8" s="2480"/>
      <c r="L8" s="2478"/>
      <c r="M8" s="2478"/>
      <c r="N8" s="2478"/>
      <c r="O8" s="2478"/>
      <c r="P8" s="2478"/>
      <c r="Q8" s="2478"/>
      <c r="R8" s="2478"/>
      <c r="S8" s="2478"/>
      <c r="T8" s="2478"/>
      <c r="U8" s="2478"/>
      <c r="V8" s="2478"/>
      <c r="W8" s="2478"/>
      <c r="X8" s="2478"/>
      <c r="Y8" s="2478"/>
      <c r="Z8" s="2478"/>
      <c r="AA8" s="2478"/>
      <c r="AB8" s="2478"/>
      <c r="AC8" s="2478"/>
      <c r="AD8" s="2478"/>
      <c r="AE8" s="2478"/>
      <c r="AF8" s="2478"/>
      <c r="AG8" s="2478"/>
    </row>
    <row r="9" s="2392" customFormat="1" ht="16.5" customHeight="1" spans="1:11">
      <c r="A9" s="2408" t="s">
        <v>1094</v>
      </c>
      <c r="B9" s="2409"/>
      <c r="C9" s="2409"/>
      <c r="D9" s="2409"/>
      <c r="E9" s="2409"/>
      <c r="F9" s="2409"/>
      <c r="G9" s="2409"/>
      <c r="H9" s="2409"/>
      <c r="I9" s="2409"/>
      <c r="J9" s="2409"/>
      <c r="K9" s="2475"/>
    </row>
    <row r="10" s="2395" customFormat="1" ht="13.5" customHeight="1" spans="1:11">
      <c r="A10" s="2411" t="s">
        <v>1090</v>
      </c>
      <c r="B10" s="2421" t="s">
        <v>1091</v>
      </c>
      <c r="C10" s="2422" t="s">
        <v>1095</v>
      </c>
      <c r="D10" s="2423" t="s">
        <v>1096</v>
      </c>
      <c r="E10" s="2423" t="s">
        <v>1097</v>
      </c>
      <c r="F10" s="2423" t="s">
        <v>1098</v>
      </c>
      <c r="G10" s="2421"/>
      <c r="H10" s="2424"/>
      <c r="I10" s="2424"/>
      <c r="J10" s="2424"/>
      <c r="K10" s="2481"/>
    </row>
    <row r="11" s="2396" customFormat="1" ht="13.5" customHeight="1" spans="1:11">
      <c r="A11" s="2425" t="s">
        <v>999</v>
      </c>
      <c r="B11" s="2426" t="s">
        <v>1099</v>
      </c>
      <c r="C11" s="2427">
        <f ca="1">IF(C1="",'数据-取费表'!P16,INDIRECT("'数据-取费表'!p"&amp;$K$1)+INDIRECT("'数据-取费表'!ar"&amp;$K$1))</f>
        <v>0</v>
      </c>
      <c r="D11" s="2428"/>
      <c r="E11" s="2071"/>
      <c r="F11" s="2429">
        <f ca="1">1-IF('数据-取费表'!B24=0,1,IF(C1="",'数据-取费表'!N16,INDIRECT("'数据-取费表'!n"&amp;$K$1)))</f>
        <v>0</v>
      </c>
      <c r="G11" s="2421"/>
      <c r="H11" s="2424"/>
      <c r="I11" s="2424"/>
      <c r="J11" s="2424"/>
      <c r="K11" s="2481"/>
    </row>
    <row r="12" s="2396" customFormat="1" ht="13.5" customHeight="1" spans="1:11">
      <c r="A12" s="2425" t="s">
        <v>1002</v>
      </c>
      <c r="B12" s="2426" t="s">
        <v>1100</v>
      </c>
      <c r="C12" s="1048">
        <f ca="1">ROUND(C11*F12,0)</f>
        <v>0</v>
      </c>
      <c r="D12" s="2428"/>
      <c r="E12" s="2071"/>
      <c r="F12" s="2429">
        <f>'数据-取费表'!B33</f>
        <v>0.03</v>
      </c>
      <c r="G12" s="2421" t="s">
        <v>1101</v>
      </c>
      <c r="H12" s="2424"/>
      <c r="I12" s="2424"/>
      <c r="J12" s="2424"/>
      <c r="K12" s="2481"/>
    </row>
    <row r="13" s="2396" customFormat="1" ht="13.5" customHeight="1" spans="1:11">
      <c r="A13" s="2425" t="s">
        <v>1102</v>
      </c>
      <c r="B13" s="2426" t="s">
        <v>1103</v>
      </c>
      <c r="C13" s="1048">
        <f ca="1">ROUND(IF(C1="",SUMIF('数据-取费表'!C:C,"住宅",'数据-取费表'!P:P)*F13,IF(INDIRECT("'数据-取费表'!c"&amp;$K$1)="住宅",INDIRECT("'数据-取费表'!P"&amp;$K$1)*F13,0)),0)</f>
        <v>0</v>
      </c>
      <c r="D13" s="2430"/>
      <c r="E13" s="2071"/>
      <c r="F13" s="2429">
        <f>'数据-取费表'!B34</f>
        <v>0.05</v>
      </c>
      <c r="G13" s="2421" t="s">
        <v>1104</v>
      </c>
      <c r="H13" s="2424"/>
      <c r="I13" s="2424"/>
      <c r="J13" s="2424"/>
      <c r="K13" s="2481"/>
    </row>
    <row r="14" s="2397" customFormat="1" ht="13.5" customHeight="1" spans="1:33">
      <c r="A14" s="2425" t="s">
        <v>1105</v>
      </c>
      <c r="B14" s="2426" t="s">
        <v>1106</v>
      </c>
      <c r="C14" s="1048">
        <f ca="1">ROUND(D14*E14*F11/10000,0)</f>
        <v>0</v>
      </c>
      <c r="D14" s="2430">
        <f ca="1">IF(C1="",'数据-汇总表'!E3,INDIRECT("'数据-取费表'!K"&amp;$K$1)+INDIRECT("'数据-取费表'!S"&amp;$K$1))</f>
        <v>211.57</v>
      </c>
      <c r="E14" s="1048">
        <f>'数据-取费表'!B35</f>
        <v>300</v>
      </c>
      <c r="F14" s="2431"/>
      <c r="G14" s="2421" t="s">
        <v>1107</v>
      </c>
      <c r="H14" s="2424"/>
      <c r="I14" s="2424"/>
      <c r="J14" s="2424"/>
      <c r="K14" s="2481"/>
      <c r="L14" s="2396"/>
      <c r="M14" s="2396"/>
      <c r="N14" s="2396"/>
      <c r="O14" s="2396"/>
      <c r="P14" s="2396"/>
      <c r="Q14" s="2396"/>
      <c r="R14" s="2396"/>
      <c r="S14" s="2396"/>
      <c r="T14" s="2396"/>
      <c r="U14" s="2396"/>
      <c r="V14" s="2396"/>
      <c r="W14" s="2396"/>
      <c r="X14" s="2396"/>
      <c r="Y14" s="2396"/>
      <c r="Z14" s="2396"/>
      <c r="AA14" s="2396"/>
      <c r="AB14" s="2396"/>
      <c r="AC14" s="2396"/>
      <c r="AD14" s="2396"/>
      <c r="AE14" s="2396"/>
      <c r="AF14" s="2396"/>
      <c r="AG14" s="2396"/>
    </row>
    <row r="15" s="2397" customFormat="1" ht="13.5" customHeight="1" spans="1:33">
      <c r="A15" s="2425" t="s">
        <v>1108</v>
      </c>
      <c r="B15" s="2426" t="s">
        <v>1109</v>
      </c>
      <c r="C15" s="2432">
        <f ca="1">ROUND(C11*F15,0)</f>
        <v>0</v>
      </c>
      <c r="D15" s="2433"/>
      <c r="E15" s="2432"/>
      <c r="F15" s="2429">
        <f>'数据-取费表'!B36</f>
        <v>0.015</v>
      </c>
      <c r="G15" s="2068" t="s">
        <v>1110</v>
      </c>
      <c r="H15" s="2183"/>
      <c r="I15" s="2183"/>
      <c r="J15" s="2183"/>
      <c r="K15" s="2184"/>
      <c r="L15" s="2396"/>
      <c r="M15" s="2396"/>
      <c r="N15" s="2396"/>
      <c r="O15" s="2396"/>
      <c r="P15" s="2396"/>
      <c r="Q15" s="2396"/>
      <c r="R15" s="2396"/>
      <c r="S15" s="2396"/>
      <c r="T15" s="2396"/>
      <c r="U15" s="2396"/>
      <c r="V15" s="2396"/>
      <c r="W15" s="2396"/>
      <c r="X15" s="2396"/>
      <c r="Y15" s="2396"/>
      <c r="Z15" s="2396"/>
      <c r="AA15" s="2396"/>
      <c r="AB15" s="2396"/>
      <c r="AC15" s="2396"/>
      <c r="AD15" s="2396"/>
      <c r="AE15" s="2396"/>
      <c r="AF15" s="2396"/>
      <c r="AG15" s="2396"/>
    </row>
    <row r="16" s="2397" customFormat="1" ht="13.5" customHeight="1" spans="1:33">
      <c r="A16" s="2425" t="s">
        <v>917</v>
      </c>
      <c r="B16" s="2426" t="s">
        <v>1111</v>
      </c>
      <c r="C16" s="2432">
        <f ca="1">SUM(C11:C15)</f>
        <v>0</v>
      </c>
      <c r="D16" s="2433"/>
      <c r="E16" s="2432"/>
      <c r="F16" s="2429"/>
      <c r="G16" s="2068"/>
      <c r="H16" s="2434"/>
      <c r="I16" s="2183"/>
      <c r="J16" s="2183"/>
      <c r="K16" s="2184"/>
      <c r="L16" s="2396"/>
      <c r="M16" s="2396"/>
      <c r="N16" s="2396"/>
      <c r="O16" s="2396"/>
      <c r="P16" s="2396"/>
      <c r="Q16" s="2396"/>
      <c r="R16" s="2396"/>
      <c r="S16" s="2396"/>
      <c r="T16" s="2396"/>
      <c r="U16" s="2396"/>
      <c r="V16" s="2396"/>
      <c r="W16" s="2396"/>
      <c r="X16" s="2396"/>
      <c r="Y16" s="2396"/>
      <c r="Z16" s="2396"/>
      <c r="AA16" s="2396"/>
      <c r="AB16" s="2396"/>
      <c r="AC16" s="2396"/>
      <c r="AD16" s="2396"/>
      <c r="AE16" s="2396"/>
      <c r="AF16" s="2396"/>
      <c r="AG16" s="2396"/>
    </row>
    <row r="17" s="2397" customFormat="1" ht="13.5" customHeight="1" spans="1:33">
      <c r="A17" s="2425" t="s">
        <v>921</v>
      </c>
      <c r="B17" s="2426" t="s">
        <v>1112</v>
      </c>
      <c r="C17" s="1048">
        <f ca="1">ROUND(D17*E17/10000,0)</f>
        <v>0</v>
      </c>
      <c r="D17" s="2430">
        <f ca="1">D14</f>
        <v>211.57</v>
      </c>
      <c r="E17" s="1048">
        <f>'数据-取费表'!B32</f>
        <v>0</v>
      </c>
      <c r="F17" s="2433"/>
      <c r="G17" s="2068" t="s">
        <v>1113</v>
      </c>
      <c r="H17" s="2434"/>
      <c r="I17" s="2183"/>
      <c r="J17" s="2183"/>
      <c r="K17" s="2184"/>
      <c r="L17" s="2396"/>
      <c r="M17" s="2396"/>
      <c r="N17" s="2396"/>
      <c r="O17" s="2396"/>
      <c r="P17" s="2396"/>
      <c r="Q17" s="2396"/>
      <c r="R17" s="2396"/>
      <c r="S17" s="2396"/>
      <c r="T17" s="2396"/>
      <c r="U17" s="2396"/>
      <c r="V17" s="2396"/>
      <c r="W17" s="2396"/>
      <c r="X17" s="2396"/>
      <c r="Y17" s="2396"/>
      <c r="Z17" s="2396"/>
      <c r="AA17" s="2396"/>
      <c r="AB17" s="2396"/>
      <c r="AC17" s="2396"/>
      <c r="AD17" s="2396"/>
      <c r="AE17" s="2396"/>
      <c r="AF17" s="2396"/>
      <c r="AG17" s="2396"/>
    </row>
    <row r="18" s="2396" customFormat="1" ht="13.5" customHeight="1" spans="1:11">
      <c r="A18" s="2425" t="s">
        <v>1114</v>
      </c>
      <c r="B18" s="2426" t="s">
        <v>1115</v>
      </c>
      <c r="C18" s="1048">
        <f ca="1">C19+C20-IF(C1="",'数据-取费表'!B29,IF(G18="已全部缴纳",C19+C20,H18))</f>
        <v>3</v>
      </c>
      <c r="D18" s="2430"/>
      <c r="E18" s="1048"/>
      <c r="F18" s="2431"/>
      <c r="G18" s="2435"/>
      <c r="H18" s="2436"/>
      <c r="I18" s="2482" t="s">
        <v>1116</v>
      </c>
      <c r="J18" s="2183"/>
      <c r="K18" s="2184"/>
    </row>
    <row r="19" s="2396" customFormat="1" ht="13.5" customHeight="1" spans="1:11">
      <c r="A19" s="2425" t="s">
        <v>999</v>
      </c>
      <c r="B19" s="2426" t="s">
        <v>445</v>
      </c>
      <c r="C19" s="1048">
        <f ca="1">ROUND(D19*E19/10000,0)</f>
        <v>3</v>
      </c>
      <c r="D19" s="2430">
        <f ca="1">IF(C1="",'数据-汇总表'!E5,IF(INDIRECT("'数据-取费表'!c"&amp;$K$1)="住宅",INDIRECT("'数据-取费表'!k"&amp;$K$1),0))</f>
        <v>211.57</v>
      </c>
      <c r="E19" s="1048">
        <f>'数据-取费表'!B27</f>
        <v>160</v>
      </c>
      <c r="F19" s="2431"/>
      <c r="G19" s="2182"/>
      <c r="H19" s="2437"/>
      <c r="I19" s="2438"/>
      <c r="J19" s="2438"/>
      <c r="K19" s="2483"/>
    </row>
    <row r="20" s="2396" customFormat="1" ht="13.5" customHeight="1" spans="1:11">
      <c r="A20" s="2425" t="s">
        <v>1002</v>
      </c>
      <c r="B20" s="2426" t="s">
        <v>1117</v>
      </c>
      <c r="C20" s="1048">
        <f ca="1">ROUND(D20*E20/10000,0)</f>
        <v>0</v>
      </c>
      <c r="D20" s="2430">
        <f ca="1">IF(C1="",'数据-汇总表'!E6,IF(INDIRECT("'数据-取费表'!c"&amp;$K$1)="住宅",INDIRECT("'数据-取费表'!s"&amp;$K$1),INDIRECT("'数据-取费表'!k"&amp;$K$1)+INDIRECT("'数据-取费表'!s"&amp;$K$1)))</f>
        <v>0</v>
      </c>
      <c r="E20" s="1048">
        <f>'数据-取费表'!B28</f>
        <v>200</v>
      </c>
      <c r="F20" s="2431"/>
      <c r="G20" s="2182"/>
      <c r="H20" s="2438"/>
      <c r="I20" s="2438"/>
      <c r="J20" s="2438"/>
      <c r="K20" s="2483"/>
    </row>
    <row r="21" s="2396" customFormat="1" ht="13.5" customHeight="1" spans="1:11">
      <c r="A21" s="2414" t="s">
        <v>894</v>
      </c>
      <c r="B21" s="2439" t="s">
        <v>1118</v>
      </c>
      <c r="C21" s="2440">
        <f ca="1">C16+C17+C18</f>
        <v>3</v>
      </c>
      <c r="D21" s="2441"/>
      <c r="E21" s="2442"/>
      <c r="F21" s="2442"/>
      <c r="G21" s="2068" t="s">
        <v>1119</v>
      </c>
      <c r="H21" s="2183"/>
      <c r="I21" s="2183"/>
      <c r="J21" s="2183"/>
      <c r="K21" s="2184"/>
    </row>
    <row r="22" s="2396" customFormat="1" ht="13.5" customHeight="1" spans="1:11">
      <c r="A22" s="2414" t="s">
        <v>898</v>
      </c>
      <c r="B22" s="2439" t="s">
        <v>1120</v>
      </c>
      <c r="C22" s="2440">
        <f ca="1">ROUND(C21*F22,0)</f>
        <v>0</v>
      </c>
      <c r="D22" s="2442"/>
      <c r="E22" s="2442"/>
      <c r="F22" s="2443">
        <f>'数据-取费表'!B37</f>
        <v>0.025</v>
      </c>
      <c r="G22" s="2421" t="s">
        <v>1121</v>
      </c>
      <c r="H22" s="2424"/>
      <c r="I22" s="2424"/>
      <c r="J22" s="2424"/>
      <c r="K22" s="2481"/>
    </row>
    <row r="23" s="2396" customFormat="1" ht="13.5" customHeight="1" spans="1:11">
      <c r="A23" s="2414" t="s">
        <v>943</v>
      </c>
      <c r="B23" s="2439" t="s">
        <v>1122</v>
      </c>
      <c r="C23" s="2440">
        <f ca="1">ROUND(C4*F23*F11,0)</f>
        <v>0</v>
      </c>
      <c r="D23" s="2442"/>
      <c r="E23" s="2442"/>
      <c r="F23" s="2443">
        <f>'数据-取费表'!B38</f>
        <v>0.025</v>
      </c>
      <c r="G23" s="2421" t="s">
        <v>1123</v>
      </c>
      <c r="H23" s="2424"/>
      <c r="I23" s="2424"/>
      <c r="J23" s="2424"/>
      <c r="K23" s="2481"/>
    </row>
    <row r="24" s="2396" customFormat="1" ht="13.5" customHeight="1" spans="1:11">
      <c r="A24" s="2414" t="s">
        <v>946</v>
      </c>
      <c r="B24" s="2439" t="s">
        <v>1124</v>
      </c>
      <c r="C24" s="2444">
        <f>ROUND(F24/(1+'数据-取费表'!C42),4)</f>
        <v>0.029</v>
      </c>
      <c r="D24" s="2442" t="s">
        <v>1125</v>
      </c>
      <c r="E24" s="2442"/>
      <c r="F24" s="2443">
        <f>IF(项目基本情况!B8="出让",0,'数据-取费表'!B48+'数据-取费表'!B49)</f>
        <v>0.0305</v>
      </c>
      <c r="G24" s="2421" t="s">
        <v>1126</v>
      </c>
      <c r="H24" s="2445"/>
      <c r="I24" s="2445"/>
      <c r="J24" s="2445"/>
      <c r="K24" s="2484"/>
    </row>
    <row r="25" s="2396" customFormat="1" ht="13.5" customHeight="1" spans="1:11">
      <c r="A25" s="2414" t="s">
        <v>950</v>
      </c>
      <c r="B25" s="2441" t="s">
        <v>1127</v>
      </c>
      <c r="C25" s="2446">
        <f ca="1">C27</f>
        <v>0</v>
      </c>
      <c r="D25" s="2444">
        <f>C26</f>
        <v>0</v>
      </c>
      <c r="E25" s="2447" t="s">
        <v>1125</v>
      </c>
      <c r="F25" s="2448">
        <f>'数据-取费表'!B40</f>
        <v>0.0475</v>
      </c>
      <c r="G25" s="2068" t="str">
        <f>IF('数据-取费表'!B22&lt;=1,"单利计息。","复利计息。")&amp;"后续开发成本、管理费用及销售费用产生的利息。"</f>
        <v>复利计息。后续开发成本、管理费用及销售费用产生的利息。</v>
      </c>
      <c r="H25" s="2445"/>
      <c r="I25" s="2445"/>
      <c r="J25" s="2445"/>
      <c r="K25" s="2484"/>
    </row>
    <row r="26" s="2398" customFormat="1" ht="13.5" customHeight="1" spans="1:11">
      <c r="A26" s="2425" t="s">
        <v>917</v>
      </c>
      <c r="B26" s="2449" t="s">
        <v>1128</v>
      </c>
      <c r="C26" s="2450">
        <f>ROUND(IF('数据-取费表'!B22&lt;=1,(1+C24)*F25*'数据-取费表'!B24,(1+C24)*(POWER((1+F25),'数据-取费表'!B24)-1)),4)</f>
        <v>0</v>
      </c>
      <c r="D26" s="2451"/>
      <c r="E26" s="2452"/>
      <c r="F26" s="2453"/>
      <c r="G26" s="2454" t="str">
        <f>IF('数据-取费表'!B22&lt;=1,"（(1)+取得税费率/(1+5%)）×年利率×建设期","（(1)+取得税费率）/(1+5%)×((1+年利率)^建设期-1)")</f>
        <v>（(1)+取得税费率）/(1+5%)×((1+年利率)^建设期-1)</v>
      </c>
      <c r="H26" s="2183"/>
      <c r="I26" s="2183"/>
      <c r="J26" s="2183"/>
      <c r="K26" s="2184"/>
    </row>
    <row r="27" s="2398" customFormat="1" ht="13.5" customHeight="1" spans="1:11">
      <c r="A27" s="2425" t="s">
        <v>921</v>
      </c>
      <c r="B27" s="2449" t="s">
        <v>1129</v>
      </c>
      <c r="C27" s="2455">
        <f ca="1">ROUND(IF('数据-取费表'!B22&lt;=1,(C21+C22+C23)*F25*'数据-取费表'!B24/2,(C21+C22+C23)*(POWER((1+F25),'数据-取费表'!B24/2)-1)),0)</f>
        <v>0</v>
      </c>
      <c r="D27" s="2451"/>
      <c r="E27" s="2452"/>
      <c r="F27" s="2453"/>
      <c r="G27" s="2454" t="str">
        <f>IF('数据-取费表'!B22&lt;=1,"（1）-（3）项×年利率×建设期÷2","（1）-（3）项×((1+年利率)^(建设期÷2)-1)")</f>
        <v>（1）-（3）项×((1+年利率)^(建设期÷2)-1)</v>
      </c>
      <c r="H27" s="2183"/>
      <c r="I27" s="2183"/>
      <c r="J27" s="2183"/>
      <c r="K27" s="2184"/>
    </row>
    <row r="28" s="2399" customFormat="1" ht="13.5" customHeight="1" spans="1:11">
      <c r="A28" s="2414" t="s">
        <v>951</v>
      </c>
      <c r="B28" s="2456" t="s">
        <v>1130</v>
      </c>
      <c r="C28" s="2457">
        <f ca="1">C30</f>
        <v>1</v>
      </c>
      <c r="D28" s="2444">
        <f ca="1">C29</f>
        <v>0</v>
      </c>
      <c r="E28" s="2447" t="s">
        <v>1125</v>
      </c>
      <c r="F28" s="1385">
        <f ca="1">IF(C1="",'数据-取费表'!Q16,INDIRECT("'数据-取费表'!q"&amp;$K$1))</f>
        <v>0.2</v>
      </c>
      <c r="G28" s="2458"/>
      <c r="H28" s="2445"/>
      <c r="I28" s="2445"/>
      <c r="J28" s="2445"/>
      <c r="K28" s="2484"/>
    </row>
    <row r="29" s="2400" customFormat="1" ht="13.5" customHeight="1" spans="1:11">
      <c r="A29" s="2425" t="s">
        <v>917</v>
      </c>
      <c r="B29" s="2459" t="s">
        <v>1131</v>
      </c>
      <c r="C29" s="2451">
        <f ca="1">ROUND((1+C24)*F28*'数据-取费表'!B24/'数据-取费表'!B20,4)</f>
        <v>0</v>
      </c>
      <c r="D29" s="2451"/>
      <c r="E29" s="2452"/>
      <c r="F29" s="2460"/>
      <c r="G29" s="2068" t="s">
        <v>1132</v>
      </c>
      <c r="H29" s="2183"/>
      <c r="I29" s="2183"/>
      <c r="J29" s="2183"/>
      <c r="K29" s="2184"/>
    </row>
    <row r="30" s="2400" customFormat="1" ht="13.5" customHeight="1" spans="1:11">
      <c r="A30" s="2425" t="s">
        <v>921</v>
      </c>
      <c r="B30" s="2459" t="s">
        <v>1133</v>
      </c>
      <c r="C30" s="2461">
        <f ca="1">ROUND((C21+C22+C23)*F28,0)</f>
        <v>1</v>
      </c>
      <c r="D30" s="2451"/>
      <c r="E30" s="2452"/>
      <c r="F30" s="2460"/>
      <c r="G30" s="2068"/>
      <c r="H30" s="2183"/>
      <c r="I30" s="2183"/>
      <c r="J30" s="2183"/>
      <c r="K30" s="2184"/>
    </row>
    <row r="31" s="2396" customFormat="1" ht="13.5" customHeight="1" spans="1:11">
      <c r="A31" s="2462" t="s">
        <v>1134</v>
      </c>
      <c r="B31" s="2463" t="s">
        <v>1135</v>
      </c>
      <c r="C31" s="2464">
        <f>ROUND(C4*F31/(1+'数据-取费表'!C42),0)</f>
        <v>0</v>
      </c>
      <c r="D31" s="2465"/>
      <c r="E31" s="2466"/>
      <c r="F31" s="2467">
        <f>'数据-取费表'!B41</f>
        <v>0.056</v>
      </c>
      <c r="G31" s="2468" t="s">
        <v>1136</v>
      </c>
      <c r="H31" s="2469"/>
      <c r="I31" s="2469"/>
      <c r="J31" s="2469"/>
      <c r="K31" s="2485"/>
    </row>
    <row r="32" s="2395" customFormat="1" ht="13.5" customHeight="1" spans="1:11">
      <c r="A32" s="2470" t="s">
        <v>1137</v>
      </c>
      <c r="B32" s="2471"/>
      <c r="C32" s="2472">
        <f ca="1">ROUND((C4-C21-C22-C23-C25-C28-C31)/(1+C24+D25+D28),0)</f>
        <v>-4</v>
      </c>
      <c r="D32" s="2471"/>
      <c r="E32" s="2471"/>
      <c r="F32" s="2471"/>
      <c r="G32" s="2473" t="s">
        <v>1138</v>
      </c>
      <c r="H32" s="2471"/>
      <c r="I32" s="2471"/>
      <c r="J32" s="2471"/>
      <c r="K32" s="248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5.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c r="D1" s="1997" t="s">
        <v>124</v>
      </c>
      <c r="E1" s="1998" t="s">
        <v>1140</v>
      </c>
      <c r="F1" s="1999">
        <f ca="1">J53</f>
        <v>0</v>
      </c>
      <c r="G1" s="2000">
        <f>MATCH(C1,'数据-取费表'!A6:A16,0)+5</f>
        <v>7</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384" t="e">
        <f ca="1">C40+J29+L46</f>
        <v>#DIV/0!</v>
      </c>
      <c r="C2" s="2003" t="s">
        <v>1142</v>
      </c>
      <c r="D2" s="2003"/>
      <c r="E2" s="2005"/>
      <c r="F2" s="2006"/>
      <c r="G2" s="2007"/>
      <c r="H2" s="2008"/>
      <c r="I2" s="2008"/>
      <c r="J2" s="2008"/>
      <c r="K2" s="2170"/>
      <c r="L2" s="2008"/>
      <c r="M2" s="2008"/>
    </row>
    <row r="3" ht="18" customHeight="1" spans="1:13">
      <c r="A3" s="2009" t="s">
        <v>1143</v>
      </c>
      <c r="B3" s="2010">
        <f ca="1">IF(ISERROR(B2*10000/F43),0,ROUND(B2*10000/F43,0))</f>
        <v>0</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0</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ROUND(F6*F8*F7*(1-F9)/10000,0)</f>
        <v>0</v>
      </c>
      <c r="D6" s="2025" t="s">
        <v>1154</v>
      </c>
      <c r="E6" s="2026" t="s">
        <v>1155</v>
      </c>
      <c r="F6" s="2027">
        <f ca="1">INDIRECT("'数据-取费表'!u"&amp;$G$1)</f>
        <v>0</v>
      </c>
      <c r="G6" s="799"/>
      <c r="H6" s="2022" t="s">
        <v>894</v>
      </c>
      <c r="I6" s="2023" t="s">
        <v>1153</v>
      </c>
      <c r="J6" s="2100">
        <f ca="1">ROUND(M6*M8*M7*(1-M9)/10000,0)</f>
        <v>0</v>
      </c>
      <c r="K6" s="2025" t="s">
        <v>1156</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0</v>
      </c>
      <c r="G7" s="799"/>
      <c r="H7" s="2033"/>
      <c r="I7" s="2029"/>
      <c r="J7" s="2034"/>
      <c r="K7" s="2031"/>
      <c r="L7" s="2026" t="s">
        <v>1157</v>
      </c>
      <c r="M7" s="2027">
        <f ca="1">F7</f>
        <v>0</v>
      </c>
    </row>
    <row r="8" ht="18" customHeight="1" spans="1:13">
      <c r="A8" s="2033"/>
      <c r="B8" s="2029"/>
      <c r="C8" s="2034"/>
      <c r="D8" s="2031"/>
      <c r="E8" s="2026" t="s">
        <v>1158</v>
      </c>
      <c r="F8" s="2027">
        <f ca="1">INDIRECT("'数据-取费表'!ai"&amp;$G$1)</f>
        <v>0</v>
      </c>
      <c r="G8" s="799"/>
      <c r="H8" s="2033"/>
      <c r="I8" s="2029"/>
      <c r="J8" s="2034"/>
      <c r="K8" s="2031"/>
      <c r="L8" s="2026" t="s">
        <v>1158</v>
      </c>
      <c r="M8" s="2027">
        <f ca="1">INDIRECT("'数据-取费表'!ai"&amp;$G$1)</f>
        <v>0</v>
      </c>
    </row>
    <row r="9" ht="18" customHeight="1" spans="1:13">
      <c r="A9" s="2033"/>
      <c r="B9" s="2035"/>
      <c r="C9" s="2034"/>
      <c r="D9" s="2031"/>
      <c r="E9" s="2026" t="s">
        <v>1159</v>
      </c>
      <c r="F9" s="2036">
        <f ca="1">INDIRECT("'数据-取费表'!w"&amp;$G$1)</f>
        <v>0</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0</v>
      </c>
      <c r="D10" s="2038" t="s">
        <v>1161</v>
      </c>
      <c r="E10" s="2039" t="s">
        <v>1162</v>
      </c>
      <c r="F10" s="2040"/>
      <c r="G10" s="799"/>
      <c r="H10" s="2022" t="s">
        <v>898</v>
      </c>
      <c r="I10" s="2037" t="s">
        <v>1160</v>
      </c>
      <c r="J10" s="2100">
        <f ca="1">ROUND(IF(M10="押一",J6/12*M11,IF(M10="押二",J6/12*2*M11,IF(M10="押三",J6/12*3*M11,J11*M11))),0)</f>
        <v>0</v>
      </c>
      <c r="K10" s="2038" t="s">
        <v>1161</v>
      </c>
      <c r="L10" s="2039" t="s">
        <v>1162</v>
      </c>
      <c r="M10" s="2040"/>
    </row>
    <row r="11" ht="18" customHeight="1" spans="1:13">
      <c r="A11" s="2041"/>
      <c r="B11" s="2042" t="s">
        <v>1163</v>
      </c>
      <c r="C11" s="2043"/>
      <c r="D11" s="2385"/>
      <c r="E11" s="2039" t="s">
        <v>1164</v>
      </c>
      <c r="F11" s="2044">
        <f ca="1">'数据-取费表'!B39</f>
        <v>0.015</v>
      </c>
      <c r="G11" s="799"/>
      <c r="H11" s="2045"/>
      <c r="I11" s="2042" t="s">
        <v>1163</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0</v>
      </c>
      <c r="D13" s="2055" t="s">
        <v>1167</v>
      </c>
      <c r="E13" s="2055" t="s">
        <v>1168</v>
      </c>
      <c r="F13" s="2056">
        <f ca="1">INDIRECT("'数据-取费表'!y"&amp;$G$1)</f>
        <v>0</v>
      </c>
      <c r="G13" s="799"/>
      <c r="H13" s="2052">
        <v>2</v>
      </c>
      <c r="I13" s="2053" t="s">
        <v>1166</v>
      </c>
      <c r="J13" s="2179">
        <f ca="1">ROUND(J14*J15,0)</f>
        <v>0</v>
      </c>
      <c r="K13" s="2078" t="s">
        <v>1167</v>
      </c>
      <c r="L13" s="2180"/>
      <c r="M13" s="2181"/>
    </row>
    <row r="14" ht="18" customHeight="1" spans="1:13">
      <c r="A14" s="2057" t="s">
        <v>917</v>
      </c>
      <c r="B14" s="2026" t="s">
        <v>1169</v>
      </c>
      <c r="C14" s="2058">
        <f ca="1">INDIRECT("'数据-取费表'!m"&amp;$G$1)+INDIRECT("'数据-取费表'!t"&amp;$G$1)</f>
        <v>0</v>
      </c>
      <c r="D14" s="2059" t="s">
        <v>1170</v>
      </c>
      <c r="E14" s="2060"/>
      <c r="F14" s="2061"/>
      <c r="G14" s="799"/>
      <c r="H14" s="2057" t="s">
        <v>894</v>
      </c>
      <c r="I14" s="2026" t="s">
        <v>1171</v>
      </c>
      <c r="J14" s="1048">
        <f ca="1">C29</f>
        <v>0</v>
      </c>
      <c r="K14" s="2182"/>
      <c r="L14" s="2183"/>
      <c r="M14" s="2184"/>
    </row>
    <row r="15" s="1993" customFormat="1" ht="18" customHeight="1" spans="1:37">
      <c r="A15" s="2057" t="s">
        <v>921</v>
      </c>
      <c r="B15" s="2026" t="s">
        <v>1100</v>
      </c>
      <c r="C15" s="1048">
        <f ca="1">ROUND(C14*F15,0)</f>
        <v>0</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ROUND(INDIRECT("'数据-取费表'!m"&amp;$G$1)*F16,0)</f>
        <v>0</v>
      </c>
      <c r="D16" s="2026" t="s">
        <v>1172</v>
      </c>
      <c r="E16" s="2026" t="s">
        <v>1173</v>
      </c>
      <c r="F16" s="2066">
        <f ca="1">IF(INDIRECT("'数据-取费表'!c"&amp;$G$1)="住宅",'数据-取费表'!B34,0)</f>
        <v>0</v>
      </c>
      <c r="G16" s="799"/>
      <c r="H16" s="2052" t="s">
        <v>1174</v>
      </c>
      <c r="I16" s="2053" t="s">
        <v>1175</v>
      </c>
      <c r="J16" s="2054">
        <f ca="1">ROUND(J17+J22+J23+J24,0)</f>
        <v>0</v>
      </c>
      <c r="K16" s="2078" t="s">
        <v>1176</v>
      </c>
      <c r="L16" s="2079"/>
      <c r="M16" s="2021"/>
    </row>
    <row r="17" s="1993" customFormat="1" ht="18" customHeight="1" spans="1:37">
      <c r="A17" s="2057" t="s">
        <v>1177</v>
      </c>
      <c r="B17" s="2026" t="s">
        <v>1178</v>
      </c>
      <c r="C17" s="1048">
        <f ca="1">ROUND(F17*(F43+INDIRECT("'数据-取费表'!S"&amp;$G$1))/10000,0)</f>
        <v>0</v>
      </c>
      <c r="D17" s="2026" t="s">
        <v>1179</v>
      </c>
      <c r="E17" s="2026" t="s">
        <v>1180</v>
      </c>
      <c r="F17" s="2067">
        <f>'数据-取费表'!B35</f>
        <v>300</v>
      </c>
      <c r="G17" s="2064"/>
      <c r="H17" s="2057" t="s">
        <v>894</v>
      </c>
      <c r="I17" s="2026" t="s">
        <v>1181</v>
      </c>
      <c r="J17" s="2081">
        <f ca="1">ROUND(IF(AND(项目基本情况!B11="自然人",项目基本情况!B10="北京市"),J6*M17/(1+'数据-取费表'!C42),J18+J19+J20),2)</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0</v>
      </c>
      <c r="D18" s="2026" t="s">
        <v>1172</v>
      </c>
      <c r="E18" s="2026" t="s">
        <v>1173</v>
      </c>
      <c r="F18" s="2066">
        <f>'数据-取费表'!B36</f>
        <v>0.015</v>
      </c>
      <c r="G18" s="2064"/>
      <c r="H18" s="2057" t="s">
        <v>917</v>
      </c>
      <c r="I18" s="2026" t="s">
        <v>1185</v>
      </c>
      <c r="J18" s="1048">
        <f ca="1">ROUND(J6*M18/(1+'数据-取费表'!C42),2)</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0</v>
      </c>
      <c r="D19" s="2068" t="s">
        <v>1188</v>
      </c>
      <c r="E19" s="1050"/>
      <c r="F19" s="2067"/>
      <c r="G19" s="799"/>
      <c r="H19" s="2057" t="s">
        <v>921</v>
      </c>
      <c r="I19" s="2026" t="s">
        <v>1189</v>
      </c>
      <c r="J19" s="1048">
        <f ca="1">IF(K19="按租金收入计税",ROUND(J6*M19/(1+'数据-取费表'!C42),2),ROUND(C29*M19*0.7,2))</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0</v>
      </c>
      <c r="D20" s="2069" t="s">
        <v>1192</v>
      </c>
      <c r="E20" s="2026" t="s">
        <v>1173</v>
      </c>
      <c r="F20" s="2066">
        <f>'数据-取费表'!B37</f>
        <v>0.025</v>
      </c>
      <c r="G20" s="2064"/>
      <c r="H20" s="2057" t="s">
        <v>924</v>
      </c>
      <c r="I20" s="2025" t="s">
        <v>1193</v>
      </c>
      <c r="J20" s="2087">
        <f ca="1">ROUND(M20*M21/10000,2)</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ROUND(J14*M22,2)</f>
        <v>0</v>
      </c>
      <c r="K22" s="2082" t="s">
        <v>1202</v>
      </c>
      <c r="L22" s="2026" t="s">
        <v>1173</v>
      </c>
      <c r="M22" s="2094">
        <f ca="1">INDIRECT("'数据-取费表'!Ak"&amp;$G$1)</f>
        <v>0</v>
      </c>
    </row>
    <row r="23" s="1993" customFormat="1" ht="18" customHeight="1" spans="1:37">
      <c r="A23" s="2057" t="s">
        <v>917</v>
      </c>
      <c r="B23" s="2026" t="s">
        <v>1203</v>
      </c>
      <c r="C23" s="1048">
        <f ca="1">IF('数据-取费表'!B22&lt;=1,ROUND(C19*F24*F23/2,0)+ROUND(C20*F24*F23/2,0),ROUND(C19*(POWER((1+F24),F23/2)-1),0)+ROUND(C20*(POWER((1+F24),F23/2)-1),0))</f>
        <v>0</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ROUND(J13*M23,2)</f>
        <v>0</v>
      </c>
      <c r="K23" s="2082" t="s">
        <v>1206</v>
      </c>
      <c r="L23" s="2026" t="s">
        <v>1173</v>
      </c>
      <c r="M23" s="2095">
        <f ca="1">INDIRECT("'数据-取费表'!Al"&amp;$G$1)</f>
        <v>0</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ROUND(J5*M24,2)</f>
        <v>0</v>
      </c>
      <c r="K24" s="2075" t="s">
        <v>1209</v>
      </c>
      <c r="L24" s="2050" t="s">
        <v>1173</v>
      </c>
      <c r="M24" s="2051">
        <f ca="1">INDIRECT("'数据-取费表'!Am"&amp;$G$1)</f>
        <v>0</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24" customHeight="1" spans="1:13">
      <c r="A25" s="2057" t="s">
        <v>950</v>
      </c>
      <c r="B25" s="2026" t="s">
        <v>1210</v>
      </c>
      <c r="C25" s="1048"/>
      <c r="D25" s="2068" t="s">
        <v>1211</v>
      </c>
      <c r="E25" s="1050"/>
      <c r="F25" s="2067"/>
      <c r="G25" s="799"/>
      <c r="H25" s="2052" t="s">
        <v>1212</v>
      </c>
      <c r="I25" s="2096" t="s">
        <v>1213</v>
      </c>
      <c r="J25" s="2054">
        <f ca="1">J5-J16</f>
        <v>0</v>
      </c>
      <c r="K25" s="2097" t="s">
        <v>1214</v>
      </c>
      <c r="L25" s="2098"/>
      <c r="M25" s="2099"/>
    </row>
    <row r="26" spans="1:13">
      <c r="A26" s="2057" t="s">
        <v>917</v>
      </c>
      <c r="B26" s="2026" t="s">
        <v>1215</v>
      </c>
      <c r="C26" s="1048">
        <f ca="1">ROUND((C19+C20)*F26,0)</f>
        <v>0</v>
      </c>
      <c r="D26" s="2069" t="s">
        <v>1216</v>
      </c>
      <c r="E26" s="2039" t="s">
        <v>1217</v>
      </c>
      <c r="F26" s="2036">
        <f ca="1">INDIRECT("'数据-取费表'!q"&amp;$G$1)</f>
        <v>0</v>
      </c>
      <c r="G26" s="799"/>
      <c r="H26" s="2016" t="s">
        <v>1218</v>
      </c>
      <c r="I26" s="2017" t="s">
        <v>1219</v>
      </c>
      <c r="J26" s="2100">
        <f ca="1">IF(J5&lt;&gt;0,ROUND(J25*(1-((1+M28)/(1+M26))^M27)/(M26-M28),0),0)</f>
        <v>0</v>
      </c>
      <c r="K26" s="2088" t="s">
        <v>1220</v>
      </c>
      <c r="L26" s="2026" t="s">
        <v>1221</v>
      </c>
      <c r="M26" s="2036">
        <f ca="1">INDIRECT("'数据-取费表'!I"&amp;$G$1)</f>
        <v>0</v>
      </c>
    </row>
    <row r="27" ht="18" customHeight="1" spans="1:13">
      <c r="A27" s="2057" t="s">
        <v>921</v>
      </c>
      <c r="B27" s="2026" t="s">
        <v>1222</v>
      </c>
      <c r="C27" s="1048">
        <f ca="1">ROUND(F21*F26,4)</f>
        <v>0</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0</v>
      </c>
      <c r="D29" s="2075"/>
      <c r="E29" s="2050"/>
      <c r="F29" s="2076"/>
      <c r="G29" s="2064"/>
      <c r="H29" s="2077" t="s">
        <v>1230</v>
      </c>
      <c r="I29" s="2107" t="s">
        <v>1231</v>
      </c>
      <c r="J29" s="2108">
        <f ca="1">ROUND(J26/(1+F40)^F41,0)</f>
        <v>0</v>
      </c>
      <c r="K29" s="2109" t="s">
        <v>1232</v>
      </c>
      <c r="L29" s="2110"/>
      <c r="M29" s="2111">
        <f ca="1">INDIRECT("'数据-取费表'!k"&amp;$G$1)</f>
        <v>0</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0</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ROUND(IF(AND(项目基本情况!B11="自然人",项目基本情况!B10="北京市"),C6*F31/(1+'数据-取费表'!C42),C32+C33+C34),2)</f>
        <v>0</v>
      </c>
      <c r="D31" s="2059" t="s">
        <v>1182</v>
      </c>
      <c r="E31" s="2082" t="s">
        <v>1183</v>
      </c>
      <c r="F31" s="2083">
        <f ca="1">IF(项目基本情况!B11="企业","——",IF(M47="住宅",IF(F6*F7*F8/12/(1+'数据-取费表'!F30)&gt;100000,4%,2.5%),IF(F6*F7*F8/12/(1+'数据-取费表'!F30)&gt;100000,12%,7%)))</f>
        <v>0.07</v>
      </c>
      <c r="G31" s="799"/>
      <c r="H31" s="2084" t="s">
        <v>1233</v>
      </c>
      <c r="I31" s="2189"/>
      <c r="J31" s="2190"/>
      <c r="K31" s="2191"/>
      <c r="L31" s="2192"/>
      <c r="M31" s="2193"/>
    </row>
    <row r="32" ht="18" customHeight="1" spans="1:13">
      <c r="A32" s="2057" t="s">
        <v>917</v>
      </c>
      <c r="B32" s="2026" t="s">
        <v>1185</v>
      </c>
      <c r="C32" s="1048" t="str">
        <f ca="1">IF(项目基本情况!B11="自然人","——",ROUND(C6*F32/(1+'数据-取费表'!C42),2))</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IF(项目基本情况!B11="自然人","——",IF(D33="按租金收入计税",ROUND(C6*F33/(1+'数据-取费表'!C42),2),IF(D33="按房产原值计税",ROUND(C29*F33*0.7,2),INDIRECT("'数据-取费表'!Aj"&amp;$G$1))))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IF(项目基本情况!B11="自然人","——",ROUND(F34*F35/10000,2))</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ROUND(C29*F36,2)</f>
        <v>0</v>
      </c>
      <c r="D36" s="2082" t="s">
        <v>1234</v>
      </c>
      <c r="E36" s="2026" t="s">
        <v>1173</v>
      </c>
      <c r="F36" s="2094">
        <f ca="1">INDIRECT("'数据-取费表'!Ak"&amp;$G$1)</f>
        <v>0</v>
      </c>
      <c r="G36" s="799"/>
      <c r="H36" s="2086"/>
      <c r="I36" s="2189"/>
      <c r="J36" s="2190"/>
      <c r="K36" s="2197"/>
      <c r="L36" s="2086"/>
      <c r="M36" s="2086"/>
    </row>
    <row r="37" ht="18" customHeight="1" spans="1:13">
      <c r="A37" s="2057" t="s">
        <v>943</v>
      </c>
      <c r="B37" s="2026" t="s">
        <v>1205</v>
      </c>
      <c r="C37" s="1048">
        <f ca="1">ROUND(C13*F37,2)</f>
        <v>0</v>
      </c>
      <c r="D37" s="2082" t="s">
        <v>1206</v>
      </c>
      <c r="E37" s="2026" t="s">
        <v>1173</v>
      </c>
      <c r="F37" s="2095">
        <f ca="1">INDIRECT("'数据-取费表'!Al"&amp;$G$1)</f>
        <v>0</v>
      </c>
      <c r="G37" s="799"/>
      <c r="H37" s="2086"/>
      <c r="I37" s="2189"/>
      <c r="J37" s="2190"/>
      <c r="K37" s="2197"/>
      <c r="L37" s="2086"/>
      <c r="M37" s="2086"/>
    </row>
    <row r="38" ht="18" customHeight="1" spans="1:13">
      <c r="A38" s="2065" t="s">
        <v>946</v>
      </c>
      <c r="B38" s="2050" t="s">
        <v>1191</v>
      </c>
      <c r="C38" s="2074">
        <f ca="1">ROUND(C5*F38,2)</f>
        <v>0</v>
      </c>
      <c r="D38" s="2075" t="s">
        <v>1209</v>
      </c>
      <c r="E38" s="2050" t="s">
        <v>1173</v>
      </c>
      <c r="F38" s="2051">
        <f ca="1">INDIRECT("'数据-取费表'!Am"&amp;$G$1)</f>
        <v>0</v>
      </c>
      <c r="G38" s="799"/>
      <c r="H38" s="2086"/>
      <c r="I38" s="2189"/>
      <c r="J38" s="2190"/>
      <c r="K38" s="2198"/>
      <c r="L38" s="2086"/>
      <c r="M38" s="2086"/>
    </row>
    <row r="39" ht="24.6" customHeight="1" spans="1:13">
      <c r="A39" s="2052" t="s">
        <v>1212</v>
      </c>
      <c r="B39" s="2096" t="s">
        <v>1213</v>
      </c>
      <c r="C39" s="2054">
        <f ca="1">C5-C30</f>
        <v>0</v>
      </c>
      <c r="D39" s="2097" t="s">
        <v>1214</v>
      </c>
      <c r="E39" s="2098"/>
      <c r="F39" s="2099"/>
      <c r="G39" s="799"/>
      <c r="H39" s="2086"/>
      <c r="I39" s="2189"/>
      <c r="J39" s="2190"/>
      <c r="K39" s="2198"/>
      <c r="L39" s="2086"/>
      <c r="M39" s="2086"/>
    </row>
    <row r="40" ht="18" customHeight="1" spans="1:13">
      <c r="A40" s="2016" t="s">
        <v>1218</v>
      </c>
      <c r="B40" s="2017" t="s">
        <v>1235</v>
      </c>
      <c r="C40" s="2100" t="e">
        <f ca="1">ROUND(C39*(1-((1+F42)/(1+F40))^F41)/(F40-F42),0)</f>
        <v>#DIV/0!</v>
      </c>
      <c r="D40" s="2088" t="s">
        <v>1220</v>
      </c>
      <c r="E40" s="2026" t="s">
        <v>1221</v>
      </c>
      <c r="F40" s="2036">
        <f ca="1">INDIRECT("'数据-取费表'!I"&amp;$G$1)</f>
        <v>0</v>
      </c>
      <c r="G40" s="799"/>
      <c r="H40" s="2101"/>
      <c r="I40" s="2189"/>
      <c r="J40" s="2190"/>
      <c r="K40" s="2198"/>
      <c r="L40" s="2101"/>
      <c r="M40" s="2101"/>
    </row>
    <row r="41" ht="18" customHeight="1" spans="1:13">
      <c r="A41" s="2033"/>
      <c r="B41" s="2102"/>
      <c r="C41" s="2034"/>
      <c r="D41" s="2103" t="s">
        <v>1224</v>
      </c>
      <c r="E41" s="2026" t="s">
        <v>1225</v>
      </c>
      <c r="F41" s="2104">
        <f ca="1">IF(INDIRECT("'数据-取费表'!af"&amp;$G$1)=0,INDIRECT("'数据-取费表'!ae"&amp;$G$1),INDIRECT("'数据-取费表'!af"&amp;$G$1))</f>
        <v>0</v>
      </c>
      <c r="G41" s="799"/>
      <c r="H41" s="2105"/>
      <c r="I41" s="2189"/>
      <c r="J41" s="2190"/>
      <c r="K41" s="2197"/>
      <c r="L41" s="2105"/>
      <c r="M41" s="2105"/>
    </row>
    <row r="42" ht="18" customHeight="1" spans="1:13">
      <c r="A42" s="2041"/>
      <c r="B42" s="2106"/>
      <c r="C42" s="2054"/>
      <c r="D42" s="2092"/>
      <c r="E42" s="2026" t="s">
        <v>1228</v>
      </c>
      <c r="F42" s="2036">
        <f ca="1">INDIRECT("'数据-取费表'!v"&amp;$G$1)</f>
        <v>0</v>
      </c>
      <c r="G42" s="799"/>
      <c r="H42" s="2105"/>
      <c r="I42" s="2189"/>
      <c r="J42" s="2190"/>
      <c r="K42" s="2197"/>
      <c r="L42" s="2105"/>
      <c r="M42" s="2105"/>
    </row>
    <row r="43" ht="18" customHeight="1" spans="1:13">
      <c r="A43" s="2077" t="s">
        <v>1230</v>
      </c>
      <c r="B43" s="2107" t="s">
        <v>1236</v>
      </c>
      <c r="C43" s="2108" t="e">
        <f ca="1">ROUND(C40*10000/F43,0)</f>
        <v>#DIV/0!</v>
      </c>
      <c r="D43" s="2109" t="s">
        <v>1237</v>
      </c>
      <c r="E43" s="2110" t="s">
        <v>1238</v>
      </c>
      <c r="F43" s="2111">
        <f ca="1">INDIRECT("'数据-取费表'!k"&amp;$G$1)</f>
        <v>0</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2"/>
      <c r="B45" s="2112"/>
      <c r="C45" s="2113"/>
      <c r="D45" s="2112"/>
      <c r="E45" s="2112"/>
      <c r="F45" s="2112"/>
      <c r="J45" s="1082"/>
      <c r="O45" s="2391" t="s">
        <v>1239</v>
      </c>
      <c r="P45" s="2101"/>
      <c r="Q45" s="2101"/>
      <c r="R45" s="2101"/>
    </row>
    <row r="46" s="799" customFormat="1" ht="13.5" spans="1:18">
      <c r="A46" s="2117" t="s">
        <v>1240</v>
      </c>
      <c r="C46" s="2118" t="e">
        <f ca="1">C68-C40</f>
        <v>#DIV/0!</v>
      </c>
      <c r="D46" s="2119" t="str">
        <f>C2</f>
        <v>万元</v>
      </c>
      <c r="E46" s="2112"/>
      <c r="F46" s="2112"/>
      <c r="I46" s="2201" t="s">
        <v>1241</v>
      </c>
      <c r="J46" s="2202"/>
      <c r="K46" s="2203"/>
      <c r="L46" s="2204" t="e">
        <f ca="1">IF(M47="住宅",0,IF(L48&gt;J51,L60,J60))</f>
        <v>#DIV/0!</v>
      </c>
      <c r="O46" s="2205" t="s">
        <v>1242</v>
      </c>
      <c r="P46" s="2206" t="s">
        <v>1243</v>
      </c>
      <c r="Q46" s="2253" t="s">
        <v>1244</v>
      </c>
      <c r="R46" s="2253" t="s">
        <v>1245</v>
      </c>
    </row>
    <row r="47" s="799" customFormat="1" ht="13.5" spans="1:18">
      <c r="A47" s="2120" t="s">
        <v>1146</v>
      </c>
      <c r="B47" s="2121" t="s">
        <v>1147</v>
      </c>
      <c r="C47" s="2386" t="s">
        <v>1148</v>
      </c>
      <c r="D47" s="2121" t="s">
        <v>1149</v>
      </c>
      <c r="E47" s="2122" t="s">
        <v>1150</v>
      </c>
      <c r="F47" s="1041"/>
      <c r="G47" s="2123"/>
      <c r="I47" s="2207" t="s">
        <v>1246</v>
      </c>
      <c r="J47" s="2208"/>
      <c r="K47" s="2209" t="s">
        <v>1247</v>
      </c>
      <c r="L47" s="2210">
        <f ca="1">INDIRECT("'数据-取费表'!d"&amp;$G$1)</f>
        <v>0</v>
      </c>
      <c r="M47" s="2211" t="str">
        <f>IF(ISNUMBER(FIND("住宅",C1)),"住宅","非住宅")</f>
        <v>非住宅</v>
      </c>
      <c r="O47" s="2212" t="s">
        <v>999</v>
      </c>
      <c r="P47" s="2213" t="s">
        <v>1248</v>
      </c>
      <c r="Q47" s="2254" t="e">
        <f ca="1">C40+J29</f>
        <v>#DIV/0!</v>
      </c>
      <c r="R47" s="2254" t="s">
        <v>1249</v>
      </c>
    </row>
    <row r="48" s="799" customFormat="1" ht="26.25" spans="1:18">
      <c r="A48" s="2124" t="s">
        <v>1250</v>
      </c>
      <c r="B48" s="2017" t="s">
        <v>1151</v>
      </c>
      <c r="C48" s="1049">
        <f ca="1">C49+C53+C55</f>
        <v>0</v>
      </c>
      <c r="D48" s="2125"/>
      <c r="E48" s="2126"/>
      <c r="F48" s="2127"/>
      <c r="G48" s="2123"/>
      <c r="H48" s="2128"/>
      <c r="I48" s="2214" t="s">
        <v>1251</v>
      </c>
      <c r="J48" s="2215"/>
      <c r="K48" s="2216" t="s">
        <v>1252</v>
      </c>
      <c r="L48" s="2217">
        <f ca="1">INDIRECT("'数据-取费表'!f"&amp;$G$1)</f>
        <v>0</v>
      </c>
      <c r="O48" s="2212" t="s">
        <v>1002</v>
      </c>
      <c r="P48" s="2213" t="s">
        <v>1253</v>
      </c>
      <c r="Q48" s="2254" t="e">
        <f ca="1">J60</f>
        <v>#DIV/0!</v>
      </c>
      <c r="R48" s="2254" t="s">
        <v>1254</v>
      </c>
    </row>
    <row r="49" s="799" customFormat="1" ht="13.5" spans="1:18">
      <c r="A49" s="2129" t="s">
        <v>1255</v>
      </c>
      <c r="B49" s="2130" t="s">
        <v>1256</v>
      </c>
      <c r="C49" s="2131">
        <f ca="1">ROUND(F49*F51*F50*(1-F52)/10000,0)</f>
        <v>0</v>
      </c>
      <c r="D49" s="2132" t="s">
        <v>1156</v>
      </c>
      <c r="E49" s="2133" t="s">
        <v>1257</v>
      </c>
      <c r="F49" s="2134"/>
      <c r="G49" s="2135"/>
      <c r="H49" s="2128"/>
      <c r="I49" s="2214" t="s">
        <v>1258</v>
      </c>
      <c r="J49" s="2218"/>
      <c r="K49" s="2216" t="s">
        <v>1259</v>
      </c>
      <c r="L49" s="2219"/>
      <c r="O49" s="2220" t="s">
        <v>1260</v>
      </c>
      <c r="P49" s="2213" t="s">
        <v>1261</v>
      </c>
      <c r="Q49" s="2254">
        <f ca="1">C29</f>
        <v>0</v>
      </c>
      <c r="R49" s="2254" t="s">
        <v>1249</v>
      </c>
    </row>
    <row r="50" s="799" customFormat="1" ht="13.5" spans="1:18">
      <c r="A50" s="2136"/>
      <c r="B50" s="2137"/>
      <c r="C50" s="2387"/>
      <c r="D50" s="2139"/>
      <c r="E50" s="2140" t="s">
        <v>1157</v>
      </c>
      <c r="F50" s="2141">
        <f ca="1">F7</f>
        <v>0</v>
      </c>
      <c r="H50" s="2128"/>
      <c r="I50" s="2214" t="s">
        <v>1262</v>
      </c>
      <c r="J50" s="2221">
        <f>SUMPRODUCT((I63:I65=J47)*(J62:L62=J48)*(J63:L65))</f>
        <v>0</v>
      </c>
      <c r="K50" s="2216" t="s">
        <v>1263</v>
      </c>
      <c r="L50" s="2219"/>
      <c r="M50" s="2222"/>
      <c r="O50" s="2220" t="s">
        <v>1264</v>
      </c>
      <c r="P50" s="2213" t="s">
        <v>1265</v>
      </c>
      <c r="Q50" s="2255" t="e">
        <f ca="1">J58</f>
        <v>#DIV/0!</v>
      </c>
      <c r="R50" s="2254"/>
    </row>
    <row r="51" s="799" customFormat="1" ht="13.5" spans="1:18">
      <c r="A51" s="2142"/>
      <c r="B51" s="2137"/>
      <c r="C51" s="2138"/>
      <c r="D51" s="2139"/>
      <c r="E51" s="2143" t="s">
        <v>1158</v>
      </c>
      <c r="F51" s="2027">
        <f ca="1">F8</f>
        <v>0</v>
      </c>
      <c r="I51" s="2223" t="s">
        <v>1266</v>
      </c>
      <c r="J51" s="2224">
        <f>IF(J49="",J50,J49+J50-YEAR('数据-取费表'!B2))</f>
        <v>0</v>
      </c>
      <c r="K51" s="2225" t="s">
        <v>1267</v>
      </c>
      <c r="L51" s="2226">
        <f ca="1">ROUND(-PV(INDIRECT("'数据-取费表'!h"&amp;$G$1),J51,(C39-C13*C76),0),0)</f>
        <v>0</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0</v>
      </c>
      <c r="R52" s="2254" t="s">
        <v>1274</v>
      </c>
    </row>
    <row r="53" s="799" customFormat="1" ht="24.75" spans="1:18">
      <c r="A53" s="2388" t="s">
        <v>1275</v>
      </c>
      <c r="B53" s="2389" t="s">
        <v>1160</v>
      </c>
      <c r="C53" s="1047">
        <f ca="1">ROUND(IF(F53="押一",C49/12*F11,IF(F53="押二",C49/12*2*F11,IF(F53="押三",C49/12*3*F11,C54*F11))),0)</f>
        <v>0</v>
      </c>
      <c r="D53" s="2038" t="s">
        <v>1161</v>
      </c>
      <c r="E53" s="2039" t="s">
        <v>1162</v>
      </c>
      <c r="F53" s="2040"/>
      <c r="I53" s="2230" t="s">
        <v>1276</v>
      </c>
      <c r="J53" s="2231">
        <f ca="1">IF(M47="住宅",IF(D1="——",MAX(J51,L48),MAX(J51,L48-'数据-取费表'!B24)),IF(D1="——",MIN(J51,L48),MIN(J51,L48-'数据-取费表'!B24)))</f>
        <v>0</v>
      </c>
      <c r="K53" s="2232" t="s">
        <v>1277</v>
      </c>
      <c r="L53" s="2233"/>
      <c r="O53" s="2212" t="s">
        <v>1102</v>
      </c>
      <c r="P53" s="2213" t="s">
        <v>1278</v>
      </c>
      <c r="Q53" s="2254" t="e">
        <f ca="1">Q47+Q48</f>
        <v>#DIV/0!</v>
      </c>
      <c r="R53" s="2254" t="s">
        <v>1279</v>
      </c>
    </row>
    <row r="54" s="799" customFormat="1" ht="13.5" spans="1:18">
      <c r="A54" s="2390"/>
      <c r="B54" s="2042" t="s">
        <v>1163</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#DIV/0!</v>
      </c>
      <c r="K55" s="2239" t="s">
        <v>1282</v>
      </c>
      <c r="L55" s="2240"/>
      <c r="O55" s="2205" t="s">
        <v>1242</v>
      </c>
      <c r="P55" s="2206" t="s">
        <v>1243</v>
      </c>
      <c r="Q55" s="2253" t="s">
        <v>1244</v>
      </c>
      <c r="R55" s="2253" t="s">
        <v>1245</v>
      </c>
    </row>
    <row r="56" s="799" customFormat="1" ht="25.5" spans="1:18">
      <c r="A56" s="2149">
        <v>2</v>
      </c>
      <c r="B56" s="2150" t="s">
        <v>1166</v>
      </c>
      <c r="C56" s="430">
        <f ca="1">C13</f>
        <v>0</v>
      </c>
      <c r="D56" s="2151"/>
      <c r="E56" s="2152"/>
      <c r="F56" s="2148"/>
      <c r="I56" s="2241" t="s">
        <v>1283</v>
      </c>
      <c r="J56" s="2242"/>
      <c r="K56" s="2214" t="s">
        <v>1284</v>
      </c>
      <c r="L56" s="2217">
        <f ca="1">IF(L48&lt;J51,"——",L48-J53)</f>
        <v>0</v>
      </c>
      <c r="O56" s="2212" t="s">
        <v>999</v>
      </c>
      <c r="P56" s="2213" t="s">
        <v>1248</v>
      </c>
      <c r="Q56" s="2254" t="e">
        <f ca="1">C40+J29</f>
        <v>#DIV/0!</v>
      </c>
      <c r="R56" s="2254" t="s">
        <v>1249</v>
      </c>
    </row>
    <row r="57" s="799" customFormat="1" ht="24.75" spans="1:18">
      <c r="A57" s="2153"/>
      <c r="B57" s="2154" t="s">
        <v>1229</v>
      </c>
      <c r="C57" s="440">
        <f ca="1">C29</f>
        <v>0</v>
      </c>
      <c r="D57" s="2155"/>
      <c r="E57" s="2156"/>
      <c r="F57" s="2157"/>
      <c r="I57" s="2243" t="s">
        <v>1285</v>
      </c>
      <c r="J57" s="2244">
        <f ca="1">IF(OR(M47="住宅",J51&lt;L48,J56="是"),"——",J51-L48)</f>
        <v>0</v>
      </c>
      <c r="K57" s="2214" t="s">
        <v>1286</v>
      </c>
      <c r="L57" s="2217">
        <f ca="1">IF(L48&lt;J51,"——",IF(L55="比较法",L49,IF(L55="基准地价",L50,L51)))</f>
        <v>0</v>
      </c>
      <c r="O57" s="2212" t="s">
        <v>1002</v>
      </c>
      <c r="P57" s="2213" t="s">
        <v>1287</v>
      </c>
      <c r="Q57" s="2254" t="e">
        <f ca="1">L60</f>
        <v>#DIV/0!</v>
      </c>
      <c r="R57" s="2254" t="s">
        <v>1288</v>
      </c>
    </row>
    <row r="58" s="799" customFormat="1" ht="24.75" spans="1:18">
      <c r="A58" s="2158" t="s">
        <v>1174</v>
      </c>
      <c r="B58" s="2150" t="s">
        <v>1175</v>
      </c>
      <c r="C58" s="1047">
        <f ca="1">ROUND(C59+C64+C65+C66,0)</f>
        <v>0</v>
      </c>
      <c r="D58" s="2159" t="s">
        <v>1176</v>
      </c>
      <c r="E58" s="2160"/>
      <c r="F58" s="2127"/>
      <c r="I58" s="2243" t="s">
        <v>1289</v>
      </c>
      <c r="J58" s="2245" t="e">
        <f ca="1">IF(J55&lt;0.4,0.4,J55)</f>
        <v>#DIV/0!</v>
      </c>
      <c r="K58" s="2225" t="s">
        <v>1290</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e">
        <f ca="1">IF(OR(M47="住宅",J51&lt;L48,J56="是"),"——",ROUND(C29*J58,0))</f>
        <v>#DIV/0!</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11" t="e">
        <f ca="1">ROUND(POWER(1+L52,L47-(J51+'数据-取费表'!B24))*(POWER(1+L52,(J51+'数据-取费表'!B24))-1)/(POWER(1+L52,L47)-1),4)</f>
        <v>#DIV/0!</v>
      </c>
      <c r="N59" s="2211"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IF(项目基本情况!B11="自然人","——",ROUND(C48*F60/(1+'数据-取费表'!C42),2))</f>
        <v>——</v>
      </c>
      <c r="D60" s="2162" t="s">
        <v>1186</v>
      </c>
      <c r="E60" s="2154" t="s">
        <v>1173</v>
      </c>
      <c r="F60" s="2073">
        <f t="shared" ref="F60:F66" si="0">F32</f>
        <v>0.056</v>
      </c>
      <c r="I60" s="2246" t="s">
        <v>1294</v>
      </c>
      <c r="J60" s="2247" t="e">
        <f ca="1">IF(OR(M47="住宅",J51&lt;L48,J56="是"),"0",ROUND(J59/(1+J52)^J53,0))</f>
        <v>#DIV/0!</v>
      </c>
      <c r="K60" s="2248" t="s">
        <v>1295</v>
      </c>
      <c r="L60" s="2247" t="e">
        <f ca="1">IF(OR(M47="住宅",L48&lt;J51),0,ROUND(L57*(L58/L59-1),0))</f>
        <v>#DIV/0!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IF(项目基本情况!B11="自然人","——",IF(D61="按租金收入计税",ROUND(C49*F61/(1+'数据-取费表'!C42),2),IF(D61="按房产原值计税",ROUND(C57*F61*0.7,2),INDIRECT("'数据-取费表'!Aj"&amp;$G$1))))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IF(项目基本情况!B11="自然人","——",ROUND(F62*F63/10000,2))</f>
        <v>——</v>
      </c>
      <c r="D62" s="2164" t="s">
        <v>1194</v>
      </c>
      <c r="E62" s="2154" t="s">
        <v>1195</v>
      </c>
      <c r="F62" s="2072">
        <f t="shared" si="0"/>
        <v>0</v>
      </c>
      <c r="I62" s="2249" t="s">
        <v>1299</v>
      </c>
      <c r="J62" s="2250" t="s">
        <v>1300</v>
      </c>
      <c r="K62" s="2250" t="s">
        <v>1301</v>
      </c>
      <c r="L62" s="2250" t="s">
        <v>1302</v>
      </c>
      <c r="M62" s="2251" t="s">
        <v>1303</v>
      </c>
      <c r="O62" s="2212" t="s">
        <v>1102</v>
      </c>
      <c r="P62" s="2213" t="s">
        <v>1278</v>
      </c>
      <c r="Q62" s="2254" t="e">
        <f ca="1">Q56+Q57</f>
        <v>#DIV/0!</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ROUND(C57*F64,2)</f>
        <v>0</v>
      </c>
      <c r="D64" s="2162" t="s">
        <v>1234</v>
      </c>
      <c r="E64" s="2154" t="s">
        <v>1173</v>
      </c>
      <c r="F64" s="2094">
        <f ca="1" t="shared" si="0"/>
        <v>0</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ROUND(C56*F65,2)</f>
        <v>0</v>
      </c>
      <c r="D65" s="2162" t="s">
        <v>1206</v>
      </c>
      <c r="E65" s="2154" t="s">
        <v>1173</v>
      </c>
      <c r="F65" s="2095">
        <f ca="1" t="shared" si="0"/>
        <v>0</v>
      </c>
      <c r="I65" s="2249" t="s">
        <v>1307</v>
      </c>
      <c r="J65" s="2250">
        <v>40</v>
      </c>
      <c r="K65" s="2250">
        <v>30</v>
      </c>
      <c r="L65" s="2250">
        <v>50</v>
      </c>
      <c r="M65" s="2252">
        <v>0.02</v>
      </c>
      <c r="O65" s="2212" t="s">
        <v>999</v>
      </c>
      <c r="P65" s="2213" t="s">
        <v>1248</v>
      </c>
      <c r="Q65" s="2254" t="e">
        <f ca="1">C40+J29</f>
        <v>#DIV/0!</v>
      </c>
      <c r="R65" s="2254" t="s">
        <v>1249</v>
      </c>
    </row>
    <row r="66" s="799" customFormat="1" ht="17.25" spans="1:18">
      <c r="A66" s="2057" t="s">
        <v>946</v>
      </c>
      <c r="B66" s="2154" t="s">
        <v>1191</v>
      </c>
      <c r="C66" s="1048">
        <f ca="1">ROUND(C48*F66,2)</f>
        <v>0</v>
      </c>
      <c r="D66" s="2162" t="s">
        <v>1209</v>
      </c>
      <c r="E66" s="2154" t="s">
        <v>1173</v>
      </c>
      <c r="F66" s="2036">
        <f ca="1" t="shared" si="0"/>
        <v>0</v>
      </c>
      <c r="O66" s="2212" t="s">
        <v>1002</v>
      </c>
      <c r="P66" s="2213" t="s">
        <v>1287</v>
      </c>
      <c r="Q66" s="2254" t="e">
        <f ca="1">L60</f>
        <v>#DIV/0!</v>
      </c>
      <c r="R66" s="2254" t="s">
        <v>1288</v>
      </c>
    </row>
    <row r="67" s="799" customFormat="1" ht="17.25" spans="1:18">
      <c r="A67" s="2149" t="s">
        <v>1212</v>
      </c>
      <c r="B67" s="2256" t="s">
        <v>1213</v>
      </c>
      <c r="C67" s="1047">
        <f ca="1">C48-C58</f>
        <v>0</v>
      </c>
      <c r="D67" s="2161" t="s">
        <v>1214</v>
      </c>
      <c r="E67" s="2257"/>
      <c r="F67" s="2258"/>
      <c r="O67" s="2220" t="s">
        <v>1260</v>
      </c>
      <c r="P67" s="2213" t="s">
        <v>1291</v>
      </c>
      <c r="Q67" s="2278">
        <f ca="1">L51</f>
        <v>0</v>
      </c>
      <c r="R67" s="2254" t="s">
        <v>1308</v>
      </c>
    </row>
    <row r="68" s="799" customFormat="1" ht="17.25" spans="1:18">
      <c r="A68" s="2259" t="s">
        <v>1218</v>
      </c>
      <c r="B68" s="2260" t="s">
        <v>1235</v>
      </c>
      <c r="C68" s="2100" t="e">
        <f ca="1">ROUND(C67*(1-((1+F70)/(1+F68))^F69)/(F68-F70),0)</f>
        <v>#DIV/0!</v>
      </c>
      <c r="D68" s="2164" t="s">
        <v>1220</v>
      </c>
      <c r="E68" s="2154" t="s">
        <v>1221</v>
      </c>
      <c r="F68" s="2036">
        <f ca="1">F40</f>
        <v>0</v>
      </c>
      <c r="O68" s="2220" t="s">
        <v>1264</v>
      </c>
      <c r="P68" s="2277" t="s">
        <v>1309</v>
      </c>
      <c r="Q68" s="2254">
        <f ca="1">ROUND(Q69-Q70*Q71,0)</f>
        <v>0</v>
      </c>
      <c r="R68" s="2254" t="s">
        <v>1310</v>
      </c>
    </row>
    <row r="69" s="799" customFormat="1" ht="13.5" spans="1:18">
      <c r="A69" s="2261"/>
      <c r="B69" s="2262"/>
      <c r="C69" s="2034"/>
      <c r="D69" s="2263" t="s">
        <v>1224</v>
      </c>
      <c r="E69" s="2154" t="s">
        <v>1225</v>
      </c>
      <c r="F69" s="2104">
        <f ca="1">F41</f>
        <v>0</v>
      </c>
      <c r="O69" s="2220" t="s">
        <v>1311</v>
      </c>
      <c r="P69" s="2277" t="s">
        <v>1312</v>
      </c>
      <c r="Q69" s="2254">
        <f ca="1">C39</f>
        <v>0</v>
      </c>
      <c r="R69" s="2254" t="s">
        <v>1249</v>
      </c>
    </row>
    <row r="70" s="799" customFormat="1" ht="13.5" spans="1:18">
      <c r="A70" s="2264"/>
      <c r="B70" s="2265"/>
      <c r="C70" s="2054"/>
      <c r="D70" s="2166"/>
      <c r="E70" s="2154" t="s">
        <v>1228</v>
      </c>
      <c r="F70" s="2144"/>
      <c r="O70" s="2220" t="s">
        <v>1313</v>
      </c>
      <c r="P70" s="2277" t="s">
        <v>1314</v>
      </c>
      <c r="Q70" s="2254">
        <f ca="1">C13</f>
        <v>0</v>
      </c>
      <c r="R70" s="2254" t="s">
        <v>1249</v>
      </c>
    </row>
    <row r="71" s="799" customFormat="1" ht="13.5" spans="1:18">
      <c r="A71" s="2266" t="s">
        <v>1230</v>
      </c>
      <c r="B71" s="2267" t="s">
        <v>1236</v>
      </c>
      <c r="C71" s="2108" t="e">
        <f ca="1">ROUND(C68*10000/F71,0)</f>
        <v>#DIV/0!</v>
      </c>
      <c r="D71" s="2268" t="s">
        <v>1237</v>
      </c>
      <c r="E71" s="2269" t="s">
        <v>1238</v>
      </c>
      <c r="F71" s="2111">
        <f ca="1">F43</f>
        <v>0</v>
      </c>
      <c r="O71" s="2220" t="s">
        <v>1315</v>
      </c>
      <c r="P71" s="2277" t="s">
        <v>1316</v>
      </c>
      <c r="Q71" s="2255">
        <f ca="1">C76</f>
        <v>0</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0</v>
      </c>
      <c r="D75" s="799"/>
      <c r="E75" s="799"/>
      <c r="F75" s="799"/>
      <c r="K75" s="2199"/>
      <c r="L75" s="799"/>
      <c r="O75" s="2212" t="s">
        <v>1102</v>
      </c>
      <c r="P75" s="2213" t="s">
        <v>1278</v>
      </c>
      <c r="Q75" s="2254" t="e">
        <f ca="1">Q65+Q66</f>
        <v>#DIV/0!</v>
      </c>
      <c r="R75" s="2254" t="s">
        <v>1279</v>
      </c>
    </row>
    <row r="76" spans="2:12">
      <c r="B76" s="575" t="s">
        <v>1320</v>
      </c>
      <c r="C76" s="2273">
        <f ca="1">INDIRECT("'数据-取费表'!j"&amp;$G$1)</f>
        <v>0</v>
      </c>
      <c r="I76" s="799"/>
      <c r="J76" s="799"/>
      <c r="K76" s="2199"/>
      <c r="L76" s="799"/>
    </row>
    <row r="77" spans="2:12">
      <c r="B77" s="2274" t="s">
        <v>1321</v>
      </c>
      <c r="C77" s="2275"/>
      <c r="I77" s="799"/>
      <c r="J77" s="799"/>
      <c r="K77" s="2199"/>
      <c r="L77" s="799"/>
    </row>
    <row r="78" spans="2:3">
      <c r="B78" s="473" t="s">
        <v>1322</v>
      </c>
      <c r="C78" s="2276"/>
    </row>
    <row r="79" spans="2:3">
      <c r="B79" s="2271" t="s">
        <v>1323</v>
      </c>
      <c r="C79" s="476" t="e">
        <f ca="1">1-C80</f>
        <v>#DIV/0!</v>
      </c>
    </row>
    <row r="80" spans="2:3">
      <c r="B80" s="2271" t="s">
        <v>1324</v>
      </c>
      <c r="C80" s="476" t="e">
        <f ca="1">ROUND(C75/C39,3)</f>
        <v>#DIV/0!</v>
      </c>
    </row>
    <row r="81" spans="2:3">
      <c r="B81" s="473" t="s">
        <v>1325</v>
      </c>
      <c r="C81" s="440"/>
    </row>
    <row r="82" spans="2:3">
      <c r="B82" s="475" t="s">
        <v>1078</v>
      </c>
      <c r="C82" s="477" t="e">
        <f ca="1">1-C83</f>
        <v>#DIV/0!</v>
      </c>
    </row>
    <row r="83" spans="2:3">
      <c r="B83" s="475" t="s">
        <v>1079</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60" topLeftCell="C34" workbookViewId="0">
      <selection activeCell="G50" sqref="G50"/>
    </sheetView>
  </sheetViews>
  <sheetFormatPr defaultColWidth="9" defaultRowHeight="14.25"/>
  <cols>
    <col min="1" max="1" width="10.5" style="1121" customWidth="1"/>
    <col min="2" max="3" width="15.75" style="1121" customWidth="1"/>
    <col min="4" max="4" width="12.25" style="1121" customWidth="1"/>
    <col min="5" max="5" width="17.125" style="1121" customWidth="1"/>
    <col min="6" max="6" width="12.25" style="1121" customWidth="1"/>
    <col min="7" max="7" width="16.5" style="1121" customWidth="1"/>
    <col min="8" max="8" width="12.25" style="1121" customWidth="1"/>
    <col min="9" max="9" width="15.62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1327</v>
      </c>
      <c r="C1" s="1594" t="s">
        <v>1328</v>
      </c>
      <c r="D1" s="1537" t="s">
        <v>412</v>
      </c>
      <c r="E1" s="1754" t="s">
        <v>1329</v>
      </c>
      <c r="F1" s="1539" t="s">
        <v>1330</v>
      </c>
      <c r="G1" s="1540" t="s">
        <v>1331</v>
      </c>
      <c r="H1" s="1541"/>
      <c r="I1" s="1541"/>
      <c r="J1" s="1541"/>
      <c r="K1" s="1592"/>
      <c r="L1" s="1593"/>
      <c r="M1" s="1594"/>
      <c r="N1" s="1594"/>
      <c r="O1" s="1594"/>
      <c r="P1" s="2303"/>
      <c r="Q1" s="1536"/>
      <c r="R1" s="1536"/>
      <c r="S1" s="1536"/>
      <c r="T1" s="1536"/>
      <c r="U1" s="1536"/>
      <c r="V1" s="1536"/>
      <c r="W1" s="1536"/>
      <c r="X1" s="1536"/>
      <c r="Y1" s="1536"/>
      <c r="Z1" s="1536"/>
      <c r="AA1" s="1536"/>
      <c r="AB1" s="1536"/>
      <c r="AC1" s="1601"/>
    </row>
    <row r="2" s="2282" customFormat="1" ht="28.5" customHeight="1" spans="1:29">
      <c r="A2" s="1542" t="s">
        <v>984</v>
      </c>
      <c r="B2" s="2283">
        <f ca="1">IF(E1="项目模式",IF(C2="——",ROUND(C49*D3/10000,0),ROUND(C49*D3/10000,0)-D2),IF(E1="单套模式",IF(C2="——",ROUND(C49*D3/10000,4),ROUND(C49*D3/10000,4)-D2)))</f>
        <v>2877.8598</v>
      </c>
      <c r="C2" s="1544" t="s">
        <v>124</v>
      </c>
      <c r="D2" s="1715" t="e">
        <f ca="1">IF(E1="项目模式",SUMIF(INDIRECT("'"&amp;F2&amp;"'"&amp;"!A:A"),"承租人权益价值",INDIRECT("'"&amp;F2&amp;"'"&amp;"!c:c")),SUMIF(INDIRECT("'"&amp;F2&amp;"'"&amp;"!A:A"),"承租人权益价值（单套）",INDIRECT("'"&amp;F2&amp;"'"&amp;"!c:c")))</f>
        <v>#REF!</v>
      </c>
      <c r="E2" s="1545" t="s">
        <v>985</v>
      </c>
      <c r="F2" s="1546"/>
      <c r="G2" s="1496"/>
      <c r="H2" s="1496"/>
      <c r="I2" s="1496"/>
      <c r="J2" s="1496"/>
      <c r="K2" s="2304"/>
      <c r="L2" s="2305"/>
      <c r="M2" s="2306"/>
      <c r="N2" s="2306"/>
      <c r="O2" s="2306"/>
      <c r="P2" s="2307"/>
      <c r="Q2" s="2326"/>
      <c r="R2" s="2326"/>
      <c r="S2" s="2326"/>
      <c r="T2" s="2326"/>
      <c r="U2" s="2326"/>
      <c r="V2" s="2326"/>
      <c r="W2" s="2326"/>
      <c r="X2" s="2326"/>
      <c r="Y2" s="2326"/>
      <c r="Z2" s="2326"/>
      <c r="AA2" s="2326"/>
      <c r="AB2" s="2326"/>
      <c r="AC2" s="2327"/>
    </row>
    <row r="3" s="2282" customFormat="1" ht="28.5" customHeight="1" spans="1:29">
      <c r="A3" s="397" t="s">
        <v>986</v>
      </c>
      <c r="B3" s="1548">
        <f ca="1">IF(C2="——",C49,ROUND(B2*10000/D3,0))</f>
        <v>136024</v>
      </c>
      <c r="C3" s="1547" t="s">
        <v>1332</v>
      </c>
      <c r="D3" s="1548">
        <f>IF(D1="",'数据-汇总表'!E3,SUMIF('数据-汇总表'!$C19:$C33,D1,'数据-汇总表'!$E19:$E33))</f>
        <v>211.57</v>
      </c>
      <c r="E3" s="1496"/>
      <c r="F3" s="2284"/>
      <c r="G3" s="1496"/>
      <c r="H3" s="1496"/>
      <c r="I3" s="1496"/>
      <c r="J3" s="1496"/>
      <c r="K3" s="2304"/>
      <c r="L3" s="2305"/>
      <c r="M3" s="2306"/>
      <c r="N3" s="2306"/>
      <c r="O3" s="2306"/>
      <c r="P3" s="2307"/>
      <c r="Q3" s="2326"/>
      <c r="R3" s="2326"/>
      <c r="S3" s="2326"/>
      <c r="T3" s="2326"/>
      <c r="U3" s="2326"/>
      <c r="V3" s="2326"/>
      <c r="W3" s="2326"/>
      <c r="X3" s="2326"/>
      <c r="Y3" s="2326"/>
      <c r="Z3" s="2326"/>
      <c r="AA3" s="2326"/>
      <c r="AB3" s="2326"/>
      <c r="AC3" s="2328"/>
    </row>
    <row r="4" ht="15" spans="1:29">
      <c r="A4" s="1134" t="s">
        <v>1333</v>
      </c>
      <c r="B4" s="1135"/>
      <c r="C4" s="1136" t="s">
        <v>1334</v>
      </c>
      <c r="D4" s="1137"/>
      <c r="E4" s="1138" t="s">
        <v>1335</v>
      </c>
      <c r="F4" s="1139"/>
      <c r="G4" s="1136" t="s">
        <v>1336</v>
      </c>
      <c r="H4" s="1137"/>
      <c r="I4" s="1136" t="s">
        <v>1337</v>
      </c>
      <c r="J4" s="1137"/>
      <c r="K4" s="2308"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74" t="s">
        <v>1336</v>
      </c>
      <c r="AC4" s="1374" t="s">
        <v>1337</v>
      </c>
    </row>
    <row r="5" ht="15" spans="1:29">
      <c r="A5" s="1140"/>
      <c r="B5" s="1141"/>
      <c r="C5" s="1142" t="s">
        <v>1340</v>
      </c>
      <c r="D5" s="1143"/>
      <c r="E5" s="2285" t="s">
        <v>1341</v>
      </c>
      <c r="F5" s="1145"/>
      <c r="G5" s="2286" t="s">
        <v>1341</v>
      </c>
      <c r="H5" s="1143"/>
      <c r="I5" s="2286" t="str">
        <f>E5</f>
        <v>水星园</v>
      </c>
      <c r="J5" s="1143"/>
      <c r="K5" s="2309"/>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2287" t="s">
        <v>1343</v>
      </c>
      <c r="F6" s="1500"/>
      <c r="G6" s="2288" t="s">
        <v>1344</v>
      </c>
      <c r="H6" s="1498"/>
      <c r="I6" s="2288" t="s">
        <v>1345</v>
      </c>
      <c r="J6" s="1498"/>
      <c r="K6" s="2309"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v>44672</v>
      </c>
      <c r="F7" s="2289">
        <v>100</v>
      </c>
      <c r="G7" s="1156">
        <v>44643</v>
      </c>
      <c r="H7" s="2290">
        <v>100</v>
      </c>
      <c r="I7" s="1156">
        <v>45031</v>
      </c>
      <c r="J7" s="1155">
        <f>SUMIF(58:58,YEAR(I7)&amp;"-"&amp;MONTH(I7),59:59)</f>
        <v>100</v>
      </c>
      <c r="K7" s="2310"/>
      <c r="L7" s="1301"/>
      <c r="M7" s="1302"/>
      <c r="N7" s="1302"/>
      <c r="O7" s="1302"/>
      <c r="P7" s="1303" t="s">
        <v>1348</v>
      </c>
      <c r="Q7" s="1356"/>
      <c r="R7" s="1357" t="s">
        <v>1349</v>
      </c>
      <c r="S7" s="1358">
        <f t="shared" ref="S7:S15" si="0">F7</f>
        <v>100</v>
      </c>
      <c r="T7" s="1357" t="s">
        <v>1349</v>
      </c>
      <c r="U7" s="1358">
        <f t="shared" ref="U7:U15" si="1">H7</f>
        <v>100</v>
      </c>
      <c r="V7" s="1357" t="s">
        <v>1349</v>
      </c>
      <c r="W7" s="1358">
        <f t="shared" ref="W7:W15" si="2">J7</f>
        <v>100</v>
      </c>
      <c r="X7" s="1359"/>
      <c r="Y7" s="1303" t="s">
        <v>1348</v>
      </c>
      <c r="Z7" s="1360"/>
      <c r="AA7" s="1376">
        <f>D7/F7</f>
        <v>1</v>
      </c>
      <c r="AB7" s="1376">
        <f>D7/H7</f>
        <v>1</v>
      </c>
      <c r="AC7" s="1376">
        <f>D7/J7</f>
        <v>1</v>
      </c>
    </row>
    <row r="8" s="1115" customFormat="1" ht="15.75" spans="1:29">
      <c r="A8" s="1152" t="s">
        <v>1350</v>
      </c>
      <c r="B8" s="1153"/>
      <c r="C8" s="1159" t="s">
        <v>1351</v>
      </c>
      <c r="D8" s="1155">
        <v>100</v>
      </c>
      <c r="E8" s="2291" t="s">
        <v>1351</v>
      </c>
      <c r="F8" s="1157">
        <f>SUMIF(61:61,E8,62:62)-SUMIF(61:61,C8,62:62)+100</f>
        <v>100</v>
      </c>
      <c r="G8" s="1159" t="s">
        <v>1351</v>
      </c>
      <c r="H8" s="1155">
        <f>SUMIF(61:61,G8,62:62)-SUMIF(61:61,C8,62:62)+100</f>
        <v>100</v>
      </c>
      <c r="I8" s="2291" t="s">
        <v>1351</v>
      </c>
      <c r="J8" s="1155">
        <f>SUMIF(61:61,I8,62:62)-SUMIF(61:61,C8,62:62)+100</f>
        <v>100</v>
      </c>
      <c r="K8" s="231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19" si="3">D8/F8</f>
        <v>1</v>
      </c>
      <c r="AB8" s="1376">
        <f t="shared" ref="AB8:AB19" si="4">D8/H8</f>
        <v>1</v>
      </c>
      <c r="AC8" s="1376">
        <f t="shared" ref="AC8:AC19" si="5">D8/J8</f>
        <v>1</v>
      </c>
    </row>
    <row r="9" s="1115" customFormat="1" spans="1:29">
      <c r="A9" s="1160" t="s">
        <v>1353</v>
      </c>
      <c r="B9" s="1161" t="s">
        <v>1354</v>
      </c>
      <c r="C9" s="2292" t="s">
        <v>412</v>
      </c>
      <c r="D9" s="1163">
        <v>100</v>
      </c>
      <c r="E9" s="1619" t="s">
        <v>412</v>
      </c>
      <c r="F9" s="1551">
        <f>SUMIF(63:63,E9,64:64)-SUMIF(63:63,C9,64:64)+100</f>
        <v>100</v>
      </c>
      <c r="G9" s="1550" t="s">
        <v>412</v>
      </c>
      <c r="H9" s="1163">
        <f>SUMIF(63:63,G9,64:64)-SUMIF(63:63,C9,64:64)+100</f>
        <v>100</v>
      </c>
      <c r="I9" s="1550" t="s">
        <v>412</v>
      </c>
      <c r="J9" s="1163">
        <f>SUMIF(63:63,I9,64:64)-SUMIF(63:63,C9,64:64)+100</f>
        <v>100</v>
      </c>
      <c r="K9" s="231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231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v>2</v>
      </c>
      <c r="D11" s="1167">
        <v>100</v>
      </c>
      <c r="E11" s="1170">
        <v>2</v>
      </c>
      <c r="F11" s="1553">
        <f>LOOKUP(E11,68:68,69:69)-LOOKUP(C11,68:68,69:69)+100</f>
        <v>100</v>
      </c>
      <c r="G11" s="1169">
        <v>2</v>
      </c>
      <c r="H11" s="1167">
        <f>LOOKUP(G11,68:68,69:69)-LOOKUP(C11,68:68,69:69)+100</f>
        <v>100</v>
      </c>
      <c r="I11" s="1169">
        <v>2</v>
      </c>
      <c r="J11" s="1167">
        <f>LOOKUP(I11,68:68,69:69)-LOOKUP(C11,68:68,69:69)+100</f>
        <v>100</v>
      </c>
      <c r="K11" s="2311">
        <v>0</v>
      </c>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2312"/>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2312"/>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2312"/>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81" spans="1:29">
      <c r="A15" s="1182" t="s">
        <v>1359</v>
      </c>
      <c r="B15" s="1503" t="s">
        <v>1360</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2313"/>
      <c r="L15" s="1312"/>
      <c r="M15" s="1296"/>
      <c r="N15" s="1296"/>
      <c r="O15" s="1296"/>
      <c r="P15" s="1730"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t="s">
        <v>1362</v>
      </c>
      <c r="D16" s="1189"/>
      <c r="E16" s="1317" t="s">
        <v>1362</v>
      </c>
      <c r="F16" s="1189"/>
      <c r="G16" s="1197" t="s">
        <v>1362</v>
      </c>
      <c r="H16" s="1191"/>
      <c r="I16" s="1197" t="s">
        <v>1362</v>
      </c>
      <c r="J16" s="1189"/>
      <c r="K16" s="2314"/>
      <c r="L16" s="1312"/>
      <c r="M16" s="1296"/>
      <c r="N16" s="1296"/>
      <c r="O16" s="1296"/>
      <c r="P16" s="1731"/>
      <c r="Q16" s="700"/>
      <c r="R16" s="1362"/>
      <c r="S16" s="1363"/>
      <c r="T16" s="1362"/>
      <c r="U16" s="1363"/>
      <c r="V16" s="1362"/>
      <c r="W16" s="1363"/>
      <c r="X16" s="1349"/>
      <c r="Y16" s="1315"/>
      <c r="Z16" s="1336"/>
      <c r="AA16" s="1378">
        <v>1</v>
      </c>
      <c r="AB16" s="1378">
        <v>1</v>
      </c>
      <c r="AC16" s="1378">
        <v>1</v>
      </c>
    </row>
    <row r="17" ht="67.5" spans="1:29">
      <c r="A17" s="1168"/>
      <c r="B17" s="1506" t="s">
        <v>1363</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2313"/>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t="s">
        <v>1362</v>
      </c>
      <c r="D18" s="1191"/>
      <c r="E18" s="1516" t="s">
        <v>1362</v>
      </c>
      <c r="F18" s="1191"/>
      <c r="G18" s="1508" t="s">
        <v>1362</v>
      </c>
      <c r="H18" s="1189"/>
      <c r="I18" s="1508" t="s">
        <v>1362</v>
      </c>
      <c r="J18" s="1189"/>
      <c r="K18" s="2314"/>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2313"/>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t="s">
        <v>1365</v>
      </c>
      <c r="D20" s="1189"/>
      <c r="E20" s="1317" t="s">
        <v>1365</v>
      </c>
      <c r="F20" s="1189"/>
      <c r="G20" s="1197" t="s">
        <v>1365</v>
      </c>
      <c r="H20" s="1189"/>
      <c r="I20" s="1197" t="s">
        <v>1365</v>
      </c>
      <c r="J20" s="1189"/>
      <c r="K20" s="2314"/>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2313"/>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188" t="s">
        <v>236</v>
      </c>
      <c r="F22" s="1189"/>
      <c r="G22" s="1190" t="s">
        <v>236</v>
      </c>
      <c r="H22" s="1189"/>
      <c r="I22" s="1188" t="s">
        <v>236</v>
      </c>
      <c r="J22" s="1189"/>
      <c r="K22" s="2315"/>
      <c r="L22" s="1312"/>
      <c r="M22" s="1296"/>
      <c r="N22" s="1296"/>
      <c r="O22" s="1296"/>
      <c r="P22" s="1731"/>
      <c r="Q22" s="700"/>
      <c r="R22" s="1362"/>
      <c r="S22" s="1363"/>
      <c r="T22" s="1362"/>
      <c r="U22" s="1363"/>
      <c r="V22" s="1362"/>
      <c r="W22" s="1363"/>
      <c r="X22" s="1349"/>
      <c r="Y22" s="1315"/>
      <c r="Z22" s="1336"/>
      <c r="AA22" s="1378">
        <v>1</v>
      </c>
      <c r="AB22" s="1378">
        <v>1</v>
      </c>
      <c r="AC22" s="1378">
        <v>1</v>
      </c>
    </row>
    <row r="23" ht="40.5" spans="1:29">
      <c r="A23" s="1168"/>
      <c r="B23" s="1506" t="s">
        <v>1367</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2313"/>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D23/F23</f>
        <v>1</v>
      </c>
      <c r="AB23" s="1378">
        <f>D23/H23</f>
        <v>1</v>
      </c>
      <c r="AC23" s="1378">
        <f>D23/J23</f>
        <v>1</v>
      </c>
    </row>
    <row r="24" ht="15" spans="1:29">
      <c r="A24" s="1168"/>
      <c r="B24" s="1216"/>
      <c r="C24" s="1188" t="s">
        <v>1362</v>
      </c>
      <c r="D24" s="1189"/>
      <c r="E24" s="1317" t="s">
        <v>1362</v>
      </c>
      <c r="F24" s="1189"/>
      <c r="G24" s="1197" t="s">
        <v>1362</v>
      </c>
      <c r="H24" s="1189"/>
      <c r="I24" s="1197" t="s">
        <v>1362</v>
      </c>
      <c r="J24" s="1189"/>
      <c r="K24" s="2314"/>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1368</v>
      </c>
      <c r="C25" s="1570"/>
      <c r="D25" s="1177">
        <v>100</v>
      </c>
      <c r="E25" s="1220"/>
      <c r="F25" s="1177">
        <f>SUMIF(86:86,E25,87:87)-SUMIF(86:86,C25,87:87)+100</f>
        <v>100</v>
      </c>
      <c r="G25" s="2293"/>
      <c r="H25" s="1177">
        <f>SUMIF(86:86,G25,87:87)-SUMIF(86:86,C25,87:87)+100</f>
        <v>100</v>
      </c>
      <c r="I25" s="2293"/>
      <c r="J25" s="1177">
        <f>SUMIF(86:86,I25,87:87)-SUMIF(86:86,C25,87:87)+100</f>
        <v>100</v>
      </c>
      <c r="K25" s="2311"/>
      <c r="L25" s="1312"/>
      <c r="M25" s="1296"/>
      <c r="N25" s="1296"/>
      <c r="O25" s="1296"/>
      <c r="P25" s="1731"/>
      <c r="Q25" s="700" t="str">
        <f t="shared" ref="Q25:Q46" si="11">B25</f>
        <v>楼层-1</v>
      </c>
      <c r="R25" s="1362" t="s">
        <v>1349</v>
      </c>
      <c r="S25" s="1363">
        <f t="shared" ref="S25:S46" si="12">F25</f>
        <v>100</v>
      </c>
      <c r="T25" s="1362" t="s">
        <v>1349</v>
      </c>
      <c r="U25" s="1363">
        <f t="shared" ref="U25:U46" si="13">H25</f>
        <v>100</v>
      </c>
      <c r="V25" s="1362" t="s">
        <v>1349</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1369</v>
      </c>
      <c r="C26" s="1570" t="s">
        <v>1370</v>
      </c>
      <c r="D26" s="1177">
        <v>100</v>
      </c>
      <c r="E26" s="1220" t="s">
        <v>1371</v>
      </c>
      <c r="F26" s="1177">
        <f>SUMIF(88:88,E26,89:89)-SUMIF(88:88,C26,89:89)+100</f>
        <v>96</v>
      </c>
      <c r="G26" s="2293" t="s">
        <v>1372</v>
      </c>
      <c r="H26" s="1177">
        <f>SUMIF(88:88,G26,89:89)-SUMIF(88:88,C26,89:89)+100</f>
        <v>88</v>
      </c>
      <c r="I26" s="2293" t="s">
        <v>1373</v>
      </c>
      <c r="J26" s="1177">
        <f>SUMIF(88:88,I26,89:89)-SUMIF(88:88,C26,89:89)+100</f>
        <v>92</v>
      </c>
      <c r="K26" s="2311">
        <v>2</v>
      </c>
      <c r="L26" s="1312"/>
      <c r="M26" s="1296"/>
      <c r="N26" s="1296"/>
      <c r="O26" s="1296"/>
      <c r="P26" s="1731"/>
      <c r="Q26" s="700" t="str">
        <f t="shared" si="11"/>
        <v>朝向</v>
      </c>
      <c r="R26" s="1362" t="s">
        <v>1349</v>
      </c>
      <c r="S26" s="1363">
        <f t="shared" si="12"/>
        <v>96</v>
      </c>
      <c r="T26" s="1362" t="s">
        <v>1349</v>
      </c>
      <c r="U26" s="1363">
        <f t="shared" si="13"/>
        <v>88</v>
      </c>
      <c r="V26" s="1362" t="s">
        <v>1349</v>
      </c>
      <c r="W26" s="1363">
        <f t="shared" si="14"/>
        <v>92</v>
      </c>
      <c r="X26" s="1349"/>
      <c r="Y26" s="1315"/>
      <c r="Z26" s="1336" t="str">
        <f>Q26</f>
        <v>朝向</v>
      </c>
      <c r="AA26" s="1378">
        <f t="shared" si="15"/>
        <v>1.04166666666667</v>
      </c>
      <c r="AB26" s="1378">
        <f t="shared" si="16"/>
        <v>1.13636363636364</v>
      </c>
      <c r="AC26" s="1378">
        <f t="shared" si="17"/>
        <v>1.08695652173913</v>
      </c>
    </row>
    <row r="27" s="1115" customFormat="1" ht="15" spans="1:29">
      <c r="A27" s="1171"/>
      <c r="B27" s="2294" t="s">
        <v>1374</v>
      </c>
      <c r="C27" s="2295" t="s">
        <v>1375</v>
      </c>
      <c r="D27" s="1673">
        <v>100</v>
      </c>
      <c r="E27" s="2295" t="s">
        <v>1376</v>
      </c>
      <c r="F27" s="1673">
        <f>SUMIF(90:90,E27,91:91)-SUMIF(90:90,C27,91:91)+100</f>
        <v>101</v>
      </c>
      <c r="G27" s="2296" t="s">
        <v>1376</v>
      </c>
      <c r="H27" s="1673">
        <f>SUMIF(90:90,G27,91:91)-SUMIF(90:90,C27,91:91)+100</f>
        <v>101</v>
      </c>
      <c r="I27" s="2296" t="s">
        <v>1376</v>
      </c>
      <c r="J27" s="1673">
        <f>SUMIF(90:90,I27,91:91)-SUMIF(90:90,C27,91:91)+100</f>
        <v>101</v>
      </c>
      <c r="K27" s="2312"/>
      <c r="L27" s="1301"/>
      <c r="M27" s="1302"/>
      <c r="N27" s="1302"/>
      <c r="O27" s="1302"/>
      <c r="P27" s="1731"/>
      <c r="Q27" s="1361" t="str">
        <f t="shared" si="11"/>
        <v>楼层</v>
      </c>
      <c r="R27" s="1357" t="s">
        <v>1349</v>
      </c>
      <c r="S27" s="1358">
        <f t="shared" si="12"/>
        <v>101</v>
      </c>
      <c r="T27" s="1357" t="s">
        <v>1349</v>
      </c>
      <c r="U27" s="1358">
        <f t="shared" si="13"/>
        <v>101</v>
      </c>
      <c r="V27" s="1357" t="s">
        <v>1349</v>
      </c>
      <c r="W27" s="1358">
        <f t="shared" si="14"/>
        <v>101</v>
      </c>
      <c r="X27" s="1359"/>
      <c r="Y27" s="1315"/>
      <c r="Z27" s="1377" t="str">
        <f>Q27</f>
        <v>楼层</v>
      </c>
      <c r="AA27" s="1378">
        <f t="shared" si="15"/>
        <v>0.99009900990099</v>
      </c>
      <c r="AB27" s="1378">
        <f t="shared" si="16"/>
        <v>0.99009900990099</v>
      </c>
      <c r="AC27" s="1378">
        <f t="shared" si="17"/>
        <v>0.99009900990099</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2312"/>
      <c r="L28" s="1312"/>
      <c r="M28" s="1296"/>
      <c r="N28" s="1296"/>
      <c r="O28" s="1296"/>
      <c r="P28" s="1731"/>
      <c r="Q28" s="700">
        <f t="shared" si="11"/>
        <v>111</v>
      </c>
      <c r="R28" s="1362" t="s">
        <v>1349</v>
      </c>
      <c r="S28" s="1363">
        <f t="shared" si="12"/>
        <v>100</v>
      </c>
      <c r="T28" s="1362" t="s">
        <v>1349</v>
      </c>
      <c r="U28" s="1363">
        <f t="shared" si="13"/>
        <v>100</v>
      </c>
      <c r="V28" s="1362" t="s">
        <v>1349</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2312"/>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2312"/>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2312"/>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8"/>
        <v>111</v>
      </c>
      <c r="AA31" s="1378">
        <f t="shared" si="15"/>
        <v>1</v>
      </c>
      <c r="AB31" s="1378">
        <f t="shared" si="16"/>
        <v>1</v>
      </c>
      <c r="AC31" s="1378">
        <f t="shared" si="17"/>
        <v>1</v>
      </c>
    </row>
    <row r="32" ht="15" spans="1:29">
      <c r="A32" s="1182" t="s">
        <v>1377</v>
      </c>
      <c r="B32" s="1161" t="s">
        <v>1378</v>
      </c>
      <c r="C32" s="1755" t="s">
        <v>1379</v>
      </c>
      <c r="D32" s="1218">
        <v>100</v>
      </c>
      <c r="E32" s="2297" t="s">
        <v>1379</v>
      </c>
      <c r="F32" s="1560">
        <f>SUMIF(100:100,E32,101:101)-SUMIF(100:100,C32,101:101)+100</f>
        <v>100</v>
      </c>
      <c r="G32" s="1755" t="s">
        <v>1379</v>
      </c>
      <c r="H32" s="1218">
        <f>SUMIF(100:100,G32,101:101)-SUMIF(100:100,C32,101:101)+100</f>
        <v>100</v>
      </c>
      <c r="I32" s="2297" t="s">
        <v>1380</v>
      </c>
      <c r="J32" s="2316">
        <f>SUMIF(100:100,I32,101:101)-SUMIF(100:100,C32,101:101)+100</f>
        <v>99</v>
      </c>
      <c r="K32" s="2311">
        <v>1</v>
      </c>
      <c r="L32" s="1312"/>
      <c r="M32" s="1296"/>
      <c r="N32" s="1296"/>
      <c r="O32" s="1296"/>
      <c r="P32" s="1732" t="s">
        <v>1381</v>
      </c>
      <c r="Q32" s="700" t="str">
        <f t="shared" si="11"/>
        <v>建筑类型</v>
      </c>
      <c r="R32" s="1362" t="s">
        <v>1349</v>
      </c>
      <c r="S32" s="1363">
        <f t="shared" si="12"/>
        <v>100</v>
      </c>
      <c r="T32" s="1362" t="s">
        <v>1349</v>
      </c>
      <c r="U32" s="1363">
        <f t="shared" si="13"/>
        <v>100</v>
      </c>
      <c r="V32" s="1362" t="s">
        <v>1349</v>
      </c>
      <c r="W32" s="1363">
        <f t="shared" si="14"/>
        <v>99</v>
      </c>
      <c r="X32" s="1349"/>
      <c r="Y32" s="1324" t="s">
        <v>1381</v>
      </c>
      <c r="Z32" s="1336" t="str">
        <f t="shared" si="18"/>
        <v>建筑类型</v>
      </c>
      <c r="AA32" s="1378">
        <f t="shared" si="15"/>
        <v>1</v>
      </c>
      <c r="AB32" s="1378">
        <f t="shared" si="16"/>
        <v>1</v>
      </c>
      <c r="AC32" s="1378">
        <f t="shared" si="17"/>
        <v>1.01010101010101</v>
      </c>
    </row>
    <row r="33" s="1117" customFormat="1" ht="15" spans="1:29">
      <c r="A33" s="1224"/>
      <c r="B33" s="1165" t="s">
        <v>1382</v>
      </c>
      <c r="C33" s="1554">
        <f>'数据-汇总表'!F27</f>
        <v>211.57</v>
      </c>
      <c r="D33" s="1167">
        <v>100</v>
      </c>
      <c r="E33" s="1170">
        <v>174.46</v>
      </c>
      <c r="F33" s="1553">
        <f>LOOKUP(E33,103:103,104:104)-LOOKUP(C33,103:103,104:104)+100</f>
        <v>101</v>
      </c>
      <c r="G33" s="1169">
        <v>156.52</v>
      </c>
      <c r="H33" s="1167">
        <f>LOOKUP(G33,103:103,104:104)-LOOKUP(C33,103:103,104:104)+100</f>
        <v>101</v>
      </c>
      <c r="I33" s="1170">
        <v>130.4</v>
      </c>
      <c r="J33" s="1167">
        <f>LOOKUP(I33,103:103,104:104)-LOOKUP(C33,103:103,104:104)+100</f>
        <v>102</v>
      </c>
      <c r="K33" s="2312"/>
      <c r="L33" s="1310"/>
      <c r="M33" s="1322"/>
      <c r="N33" s="1322"/>
      <c r="O33" s="1322"/>
      <c r="P33" s="1733"/>
      <c r="Q33" s="1599" t="str">
        <f t="shared" si="11"/>
        <v>项目建筑规模</v>
      </c>
      <c r="R33" s="1364" t="s">
        <v>1349</v>
      </c>
      <c r="S33" s="1365">
        <f t="shared" si="12"/>
        <v>101</v>
      </c>
      <c r="T33" s="1364" t="s">
        <v>1349</v>
      </c>
      <c r="U33" s="1365">
        <f t="shared" si="13"/>
        <v>101</v>
      </c>
      <c r="V33" s="1364" t="s">
        <v>1349</v>
      </c>
      <c r="W33" s="1365">
        <f t="shared" si="14"/>
        <v>102</v>
      </c>
      <c r="X33" s="1366"/>
      <c r="Y33" s="1324"/>
      <c r="Z33" s="1379" t="str">
        <f t="shared" si="18"/>
        <v>项目建筑规模</v>
      </c>
      <c r="AA33" s="1378">
        <f t="shared" si="15"/>
        <v>0.99009900990099</v>
      </c>
      <c r="AB33" s="1378">
        <f t="shared" si="16"/>
        <v>0.99009900990099</v>
      </c>
      <c r="AC33" s="1378">
        <f t="shared" si="17"/>
        <v>0.980392156862745</v>
      </c>
    </row>
    <row r="34" ht="15" spans="1:29">
      <c r="A34" s="1219"/>
      <c r="B34" s="1165" t="s">
        <v>1383</v>
      </c>
      <c r="C34" s="1756" t="s">
        <v>1384</v>
      </c>
      <c r="D34" s="1177">
        <v>100</v>
      </c>
      <c r="E34" s="2298" t="s">
        <v>1384</v>
      </c>
      <c r="F34" s="1560">
        <f>SUMIF(105:105,E34,106:106)-SUMIF(105:105,C34,106:106)+100</f>
        <v>100</v>
      </c>
      <c r="G34" s="1756" t="s">
        <v>1384</v>
      </c>
      <c r="H34" s="1177">
        <f>SUMIF(105:105,G34,106:106)-SUMIF(105:105,C34,106:106)+100</f>
        <v>100</v>
      </c>
      <c r="I34" s="2298" t="s">
        <v>1384</v>
      </c>
      <c r="J34" s="1177">
        <f>SUMIF(105:105,I34,106:106)-SUMIF(105:105,C34,106:106)+100</f>
        <v>100</v>
      </c>
      <c r="K34" s="2311">
        <v>1</v>
      </c>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8"/>
        <v>建筑结构</v>
      </c>
      <c r="AA34" s="1378">
        <f t="shared" si="15"/>
        <v>1</v>
      </c>
      <c r="AB34" s="1378">
        <f t="shared" si="16"/>
        <v>1</v>
      </c>
      <c r="AC34" s="1378">
        <f t="shared" si="17"/>
        <v>1</v>
      </c>
    </row>
    <row r="35" ht="15" spans="1:29">
      <c r="A35" s="1219"/>
      <c r="B35" s="1165" t="s">
        <v>1385</v>
      </c>
      <c r="C35" s="1220"/>
      <c r="D35" s="1177">
        <v>100</v>
      </c>
      <c r="E35" s="2293"/>
      <c r="F35" s="1560">
        <f>SUMIF(107:107,E35,108:108)-SUMIF(107:107,C35,108:108)+100</f>
        <v>100</v>
      </c>
      <c r="G35" s="1220"/>
      <c r="H35" s="1177">
        <f>SUMIF(107:107,G35,108:108)-SUMIF(107:107,C35,108:108)+100</f>
        <v>100</v>
      </c>
      <c r="I35" s="2293"/>
      <c r="J35" s="1177">
        <f>SUMIF(107:107,I35,108:108)-SUMIF(107:107,C35,108:108)+100</f>
        <v>100</v>
      </c>
      <c r="K35" s="2311">
        <v>1</v>
      </c>
      <c r="L35" s="1312"/>
      <c r="M35" s="1296"/>
      <c r="N35" s="1296"/>
      <c r="O35" s="1296"/>
      <c r="P35" s="1733"/>
      <c r="Q35" s="700" t="str">
        <f t="shared" si="11"/>
        <v>建筑品质</v>
      </c>
      <c r="R35" s="1362" t="s">
        <v>1349</v>
      </c>
      <c r="S35" s="1363">
        <f t="shared" si="12"/>
        <v>100</v>
      </c>
      <c r="T35" s="1362" t="s">
        <v>1349</v>
      </c>
      <c r="U35" s="1363">
        <f t="shared" si="13"/>
        <v>100</v>
      </c>
      <c r="V35" s="1362" t="s">
        <v>1349</v>
      </c>
      <c r="W35" s="1363">
        <f t="shared" si="14"/>
        <v>100</v>
      </c>
      <c r="X35" s="1349"/>
      <c r="Y35" s="1324"/>
      <c r="Z35" s="1336" t="str">
        <f t="shared" si="18"/>
        <v>建筑品质</v>
      </c>
      <c r="AA35" s="1378">
        <f t="shared" si="15"/>
        <v>1</v>
      </c>
      <c r="AB35" s="1378">
        <f t="shared" si="16"/>
        <v>1</v>
      </c>
      <c r="AC35" s="1378">
        <f t="shared" si="17"/>
        <v>1</v>
      </c>
    </row>
    <row r="36" ht="15" spans="1:29">
      <c r="A36" s="1219"/>
      <c r="B36" s="1165" t="s">
        <v>1386</v>
      </c>
      <c r="C36" s="1220" t="s">
        <v>1387</v>
      </c>
      <c r="D36" s="1177">
        <v>100</v>
      </c>
      <c r="E36" s="2293" t="s">
        <v>1387</v>
      </c>
      <c r="F36" s="1560">
        <f>SUMIF(109:109,E36,110:110)-SUMIF(109:109,C36,110:110)+100</f>
        <v>100</v>
      </c>
      <c r="G36" s="1220" t="s">
        <v>1387</v>
      </c>
      <c r="H36" s="1177">
        <f>SUMIF(109:109,G36,110:110)-SUMIF(109:109,C36,110:110)+100</f>
        <v>100</v>
      </c>
      <c r="I36" s="2293" t="s">
        <v>1387</v>
      </c>
      <c r="J36" s="1177">
        <f>SUMIF(109:109,I36,110:110)-SUMIF(109:109,C36,110:110)+100</f>
        <v>100</v>
      </c>
      <c r="K36" s="2311">
        <v>1</v>
      </c>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634</v>
      </c>
      <c r="C37" s="1567">
        <f>'数据-取费表'!N6</f>
        <v>0.72</v>
      </c>
      <c r="D37" s="1167">
        <v>100</v>
      </c>
      <c r="E37" s="1567">
        <f>C37</f>
        <v>0.72</v>
      </c>
      <c r="F37" s="1553">
        <f>LOOKUP(E37,112:112,113:113)-LOOKUP(C37,112:112,113:113)+100</f>
        <v>100</v>
      </c>
      <c r="G37" s="1569">
        <f>C37</f>
        <v>0.72</v>
      </c>
      <c r="H37" s="1167">
        <f>LOOKUP(G37,112:112,113:113)-LOOKUP(C37,112:112,113:113)+100</f>
        <v>100</v>
      </c>
      <c r="I37" s="1568">
        <f>C37</f>
        <v>0.72</v>
      </c>
      <c r="J37" s="1167">
        <f>LOOKUP(I37,112:112,113:113)-LOOKUP(C37,112:112,113:113)+100</f>
        <v>100</v>
      </c>
      <c r="K37" s="2311">
        <v>1</v>
      </c>
      <c r="L37" s="1301"/>
      <c r="M37" s="1302"/>
      <c r="N37" s="1302"/>
      <c r="O37" s="1302"/>
      <c r="P37" s="1733"/>
      <c r="Q37" s="1361" t="str">
        <f t="shared" si="11"/>
        <v>成新度</v>
      </c>
      <c r="R37" s="1357" t="s">
        <v>1349</v>
      </c>
      <c r="S37" s="1358">
        <f t="shared" si="12"/>
        <v>100</v>
      </c>
      <c r="T37" s="1357" t="s">
        <v>1349</v>
      </c>
      <c r="U37" s="1358">
        <f t="shared" si="13"/>
        <v>100</v>
      </c>
      <c r="V37" s="1357" t="s">
        <v>1349</v>
      </c>
      <c r="W37" s="1358">
        <f t="shared" si="14"/>
        <v>100</v>
      </c>
      <c r="X37" s="1359"/>
      <c r="Y37" s="1324"/>
      <c r="Z37" s="1377" t="str">
        <f t="shared" si="18"/>
        <v>成新度</v>
      </c>
      <c r="AA37" s="1376">
        <f t="shared" si="15"/>
        <v>1</v>
      </c>
      <c r="AB37" s="1376">
        <f t="shared" si="16"/>
        <v>1</v>
      </c>
      <c r="AC37" s="1376">
        <f t="shared" si="17"/>
        <v>1</v>
      </c>
    </row>
    <row r="38" ht="15" spans="1:29">
      <c r="A38" s="1219"/>
      <c r="B38" s="1165" t="s">
        <v>1388</v>
      </c>
      <c r="C38" s="1220" t="s">
        <v>1389</v>
      </c>
      <c r="D38" s="1177">
        <v>100</v>
      </c>
      <c r="E38" s="2293" t="s">
        <v>1389</v>
      </c>
      <c r="F38" s="1560">
        <f>SUMIF(114:114,E38,115:115)-SUMIF(114:114,C38,115:115)+100</f>
        <v>100</v>
      </c>
      <c r="G38" s="1220" t="s">
        <v>1389</v>
      </c>
      <c r="H38" s="1177">
        <f>SUMIF(114:114,G38,115:115)-SUMIF(114:114,C38,115:115)+100</f>
        <v>100</v>
      </c>
      <c r="I38" s="2293" t="s">
        <v>1389</v>
      </c>
      <c r="J38" s="1177">
        <f>SUMIF(114:114,I38,115:115)-SUMIF(114:114,C38,115:115)+100</f>
        <v>100</v>
      </c>
      <c r="K38" s="2311">
        <v>1</v>
      </c>
      <c r="L38" s="1312"/>
      <c r="M38" s="1296"/>
      <c r="N38" s="1296"/>
      <c r="O38" s="1296"/>
      <c r="P38" s="1733" t="s">
        <v>1381</v>
      </c>
      <c r="Q38" s="700" t="str">
        <f t="shared" si="11"/>
        <v>物业管理</v>
      </c>
      <c r="R38" s="1362" t="s">
        <v>1349</v>
      </c>
      <c r="S38" s="1363">
        <f t="shared" si="12"/>
        <v>100</v>
      </c>
      <c r="T38" s="1362" t="s">
        <v>1349</v>
      </c>
      <c r="U38" s="1363">
        <f t="shared" si="13"/>
        <v>100</v>
      </c>
      <c r="V38" s="1362" t="s">
        <v>1349</v>
      </c>
      <c r="W38" s="1363">
        <f t="shared" si="14"/>
        <v>100</v>
      </c>
      <c r="X38" s="1349"/>
      <c r="Y38" s="1324" t="s">
        <v>1381</v>
      </c>
      <c r="Z38" s="1336" t="str">
        <f t="shared" si="18"/>
        <v>物业管理</v>
      </c>
      <c r="AA38" s="1378">
        <f t="shared" si="15"/>
        <v>1</v>
      </c>
      <c r="AB38" s="1378">
        <f t="shared" si="16"/>
        <v>1</v>
      </c>
      <c r="AC38" s="1378">
        <f t="shared" si="17"/>
        <v>1</v>
      </c>
    </row>
    <row r="39" ht="15" spans="1:29">
      <c r="A39" s="1219"/>
      <c r="B39" s="1165" t="s">
        <v>1390</v>
      </c>
      <c r="C39" s="1220" t="s">
        <v>236</v>
      </c>
      <c r="D39" s="1177">
        <v>100</v>
      </c>
      <c r="E39" s="2293" t="s">
        <v>236</v>
      </c>
      <c r="F39" s="1560">
        <f>SUMIF(116:116,E39,117:117)-SUMIF(116:116,C39,117:117)+100</f>
        <v>100</v>
      </c>
      <c r="G39" s="1220" t="s">
        <v>236</v>
      </c>
      <c r="H39" s="1177">
        <f>SUMIF(116:116,G39,117:117)-SUMIF(116:116,C39,117:117)+100</f>
        <v>100</v>
      </c>
      <c r="I39" s="2293" t="s">
        <v>236</v>
      </c>
      <c r="J39" s="1177">
        <f>SUMIF(116:116,I39,117:117)-SUMIF(116:116,C39,117:117)+100</f>
        <v>100</v>
      </c>
      <c r="K39" s="2311">
        <v>1</v>
      </c>
      <c r="L39" s="1312"/>
      <c r="M39" s="1296"/>
      <c r="N39" s="1296"/>
      <c r="O39" s="1296"/>
      <c r="P39" s="1733"/>
      <c r="Q39" s="700" t="str">
        <f t="shared" si="11"/>
        <v>市政基础设施</v>
      </c>
      <c r="R39" s="1362" t="s">
        <v>1349</v>
      </c>
      <c r="S39" s="1363">
        <f t="shared" si="12"/>
        <v>100</v>
      </c>
      <c r="T39" s="1362" t="s">
        <v>1349</v>
      </c>
      <c r="U39" s="1363">
        <f t="shared" si="13"/>
        <v>100</v>
      </c>
      <c r="V39" s="1362" t="s">
        <v>1349</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1391</v>
      </c>
      <c r="C40" s="1220"/>
      <c r="D40" s="1177">
        <v>100</v>
      </c>
      <c r="E40" s="2293"/>
      <c r="F40" s="1560">
        <f>SUMIF(118:118,E40,119:119)-SUMIF(118:118,C40,119:119)+100</f>
        <v>100</v>
      </c>
      <c r="G40" s="1220"/>
      <c r="H40" s="1177">
        <f>SUMIF(118:118,G40,119:119)-SUMIF(118:118,C40,119:119)+100</f>
        <v>100</v>
      </c>
      <c r="I40" s="2293"/>
      <c r="J40" s="1177">
        <f>SUMIF(118:118,I40,119:119)-SUMIF(118:118,C40,119:119)+100</f>
        <v>100</v>
      </c>
      <c r="K40" s="2311"/>
      <c r="L40" s="1312"/>
      <c r="M40" s="1296"/>
      <c r="N40" s="1296"/>
      <c r="O40" s="1296"/>
      <c r="P40" s="1733"/>
      <c r="Q40" s="700" t="str">
        <f t="shared" si="11"/>
        <v>房型</v>
      </c>
      <c r="R40" s="1362" t="s">
        <v>1349</v>
      </c>
      <c r="S40" s="1363">
        <f t="shared" si="12"/>
        <v>100</v>
      </c>
      <c r="T40" s="1362" t="s">
        <v>1349</v>
      </c>
      <c r="U40" s="1363">
        <f t="shared" si="13"/>
        <v>100</v>
      </c>
      <c r="V40" s="1362" t="s">
        <v>1349</v>
      </c>
      <c r="W40" s="1363">
        <f t="shared" si="14"/>
        <v>100</v>
      </c>
      <c r="X40" s="1349"/>
      <c r="Y40" s="1324"/>
      <c r="Z40" s="1336" t="str">
        <f t="shared" si="18"/>
        <v>房型</v>
      </c>
      <c r="AA40" s="1378">
        <f t="shared" si="15"/>
        <v>1</v>
      </c>
      <c r="AB40" s="1378">
        <f t="shared" si="16"/>
        <v>1</v>
      </c>
      <c r="AC40" s="1378">
        <f t="shared" si="17"/>
        <v>1</v>
      </c>
    </row>
    <row r="41" s="1117" customFormat="1" ht="27.75" spans="1:29">
      <c r="A41" s="1224"/>
      <c r="B41" s="1165" t="s">
        <v>1392</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2312"/>
      <c r="L41" s="1310"/>
      <c r="M41" s="1322"/>
      <c r="N41" s="1322"/>
      <c r="O41" s="1322"/>
      <c r="P41" s="1733"/>
      <c r="Q41" s="1599" t="str">
        <f t="shared" si="11"/>
        <v>单套/主力户型建筑面积</v>
      </c>
      <c r="R41" s="1364" t="s">
        <v>1349</v>
      </c>
      <c r="S41" s="1365">
        <f t="shared" si="12"/>
        <v>100</v>
      </c>
      <c r="T41" s="1364" t="s">
        <v>1349</v>
      </c>
      <c r="U41" s="1365">
        <f t="shared" si="13"/>
        <v>100</v>
      </c>
      <c r="V41" s="1364" t="s">
        <v>1349</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1393</v>
      </c>
      <c r="C42" s="1220" t="s">
        <v>1387</v>
      </c>
      <c r="D42" s="1177">
        <v>100</v>
      </c>
      <c r="E42" s="2293" t="s">
        <v>1394</v>
      </c>
      <c r="F42" s="1560">
        <f>SUMIF(122:122,E42,123:123)-SUMIF(122:122,C42,123:123)+100</f>
        <v>97</v>
      </c>
      <c r="G42" s="1220" t="s">
        <v>1395</v>
      </c>
      <c r="H42" s="1177">
        <f>SUMIF(122:122,G42,123:123)-SUMIF(122:122,C42,123:123)+100</f>
        <v>94</v>
      </c>
      <c r="I42" s="2293" t="s">
        <v>1394</v>
      </c>
      <c r="J42" s="1177">
        <f>SUMIF(122:122,I42,123:123)-SUMIF(122:122,C42,123:123)+100</f>
        <v>97</v>
      </c>
      <c r="K42" s="2311">
        <v>3</v>
      </c>
      <c r="L42" s="1312"/>
      <c r="M42" s="1296"/>
      <c r="N42" s="1296"/>
      <c r="O42" s="1296"/>
      <c r="P42" s="1733"/>
      <c r="Q42" s="700" t="str">
        <f t="shared" si="11"/>
        <v>内部装修</v>
      </c>
      <c r="R42" s="1362" t="s">
        <v>1349</v>
      </c>
      <c r="S42" s="1363">
        <f t="shared" si="12"/>
        <v>97</v>
      </c>
      <c r="T42" s="1362" t="s">
        <v>1349</v>
      </c>
      <c r="U42" s="1363">
        <f t="shared" si="13"/>
        <v>94</v>
      </c>
      <c r="V42" s="1362" t="s">
        <v>1349</v>
      </c>
      <c r="W42" s="1363">
        <f t="shared" si="14"/>
        <v>97</v>
      </c>
      <c r="X42" s="1349"/>
      <c r="Y42" s="1324"/>
      <c r="Z42" s="1336" t="str">
        <f t="shared" si="18"/>
        <v>内部装修</v>
      </c>
      <c r="AA42" s="1378">
        <f t="shared" si="15"/>
        <v>1.03092783505155</v>
      </c>
      <c r="AB42" s="1378">
        <f t="shared" si="16"/>
        <v>1.06382978723404</v>
      </c>
      <c r="AC42" s="1378">
        <f t="shared" si="17"/>
        <v>1.03092783505155</v>
      </c>
    </row>
    <row r="43" ht="15" spans="1:29">
      <c r="A43" s="1219"/>
      <c r="B43" s="1165" t="s">
        <v>1396</v>
      </c>
      <c r="C43" s="1220"/>
      <c r="D43" s="1177">
        <v>100</v>
      </c>
      <c r="E43" s="2293"/>
      <c r="F43" s="1560">
        <f>SUMIF(124:124,E43,125:125)-SUMIF(124:124,C43,125:125)+100</f>
        <v>100</v>
      </c>
      <c r="G43" s="1220"/>
      <c r="H43" s="1177">
        <f>SUMIF(124:124,G43,125:125)-SUMIF(124:124,C43,125:125)+100</f>
        <v>100</v>
      </c>
      <c r="I43" s="2293"/>
      <c r="J43" s="1177">
        <f>SUMIF(124:124,I43,125:125)-SUMIF(124:124,C43,125:125)+100</f>
        <v>100</v>
      </c>
      <c r="K43" s="2311"/>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2294" t="s">
        <v>1397</v>
      </c>
      <c r="C44" s="2299" t="s">
        <v>556</v>
      </c>
      <c r="D44" s="1167">
        <v>100</v>
      </c>
      <c r="E44" s="2299" t="s">
        <v>556</v>
      </c>
      <c r="F44" s="1553">
        <f>SUMIF(126:126,E44,127:127)-SUMIF(126:126,C44,127:127)+100</f>
        <v>100</v>
      </c>
      <c r="G44" s="2299" t="s">
        <v>1398</v>
      </c>
      <c r="H44" s="1167">
        <f>SUMIF(126:126,G44,127:127)-SUMIF(126:126,C44,127:127)+100</f>
        <v>95</v>
      </c>
      <c r="I44" s="2299" t="s">
        <v>1398</v>
      </c>
      <c r="J44" s="1167">
        <f>SUMIF(126:126,I44,127:127)-SUMIF(126:126,C44,127:127)+100</f>
        <v>95</v>
      </c>
      <c r="K44" s="2312"/>
      <c r="L44" s="1301"/>
      <c r="M44" s="1302"/>
      <c r="N44" s="1302"/>
      <c r="O44" s="1302"/>
      <c r="P44" s="1733"/>
      <c r="Q44" s="1361" t="str">
        <f t="shared" si="11"/>
        <v>是否观河景</v>
      </c>
      <c r="R44" s="1357" t="s">
        <v>1349</v>
      </c>
      <c r="S44" s="1358">
        <f t="shared" si="12"/>
        <v>100</v>
      </c>
      <c r="T44" s="1357" t="s">
        <v>1349</v>
      </c>
      <c r="U44" s="1358">
        <f t="shared" si="13"/>
        <v>95</v>
      </c>
      <c r="V44" s="1357" t="s">
        <v>1349</v>
      </c>
      <c r="W44" s="1358">
        <f t="shared" si="14"/>
        <v>95</v>
      </c>
      <c r="X44" s="1359"/>
      <c r="Y44" s="1324"/>
      <c r="Z44" s="1377" t="str">
        <f t="shared" si="18"/>
        <v>是否观河景</v>
      </c>
      <c r="AA44" s="1376">
        <f t="shared" si="15"/>
        <v>1</v>
      </c>
      <c r="AB44" s="1376">
        <f t="shared" si="16"/>
        <v>1.05263157894737</v>
      </c>
      <c r="AC44" s="1376">
        <f t="shared" si="17"/>
        <v>1.05263157894737</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2312"/>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2312"/>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8"/>
        <v>111</v>
      </c>
      <c r="AA46" s="1378">
        <f t="shared" si="15"/>
        <v>1</v>
      </c>
      <c r="AB46" s="1378">
        <f t="shared" si="16"/>
        <v>1</v>
      </c>
      <c r="AC46" s="1378">
        <f t="shared" si="17"/>
        <v>1</v>
      </c>
    </row>
    <row r="47" ht="15" spans="1:29">
      <c r="A47" s="1226" t="s">
        <v>1399</v>
      </c>
      <c r="B47" s="1574"/>
      <c r="C47" s="1575" t="s">
        <v>124</v>
      </c>
      <c r="D47" s="1576"/>
      <c r="E47" s="1577">
        <v>125817</v>
      </c>
      <c r="F47" s="1578"/>
      <c r="G47" s="1579">
        <v>108612</v>
      </c>
      <c r="H47" s="1580"/>
      <c r="I47" s="1577">
        <v>121166</v>
      </c>
      <c r="J47" s="1580"/>
      <c r="K47" s="2317"/>
      <c r="L47" s="1328"/>
      <c r="M47" s="1243"/>
      <c r="N47" s="1296"/>
      <c r="O47" s="1243"/>
      <c r="P47" s="700" t="str">
        <f>A47</f>
        <v>成交单价（元/平方米）</v>
      </c>
      <c r="Q47" s="700"/>
      <c r="R47" s="1378">
        <f>E47</f>
        <v>125817</v>
      </c>
      <c r="S47" s="1378"/>
      <c r="T47" s="1378">
        <f>G47</f>
        <v>108612</v>
      </c>
      <c r="U47" s="1378"/>
      <c r="V47" s="1378">
        <f>I47</f>
        <v>121166</v>
      </c>
      <c r="W47" s="1378"/>
      <c r="X47" s="1284"/>
      <c r="Y47" s="1380"/>
      <c r="Z47" s="1284"/>
      <c r="AA47" s="1284"/>
      <c r="AB47" s="1284"/>
      <c r="AC47" s="1284"/>
    </row>
    <row r="48" ht="15.75" spans="1:29">
      <c r="A48" s="1234" t="s">
        <v>1400</v>
      </c>
      <c r="B48" s="1581"/>
      <c r="C48" s="1582">
        <f>R49</f>
        <v>136024</v>
      </c>
      <c r="D48" s="1237" t="s">
        <v>1401</v>
      </c>
      <c r="E48" s="1583">
        <f>R48</f>
        <v>132451</v>
      </c>
      <c r="F48" s="1238"/>
      <c r="G48" s="1582">
        <f>T48</f>
        <v>135488</v>
      </c>
      <c r="H48" s="1238"/>
      <c r="I48" s="1583">
        <f>V48</f>
        <v>140133</v>
      </c>
      <c r="J48" s="1238"/>
      <c r="K48" s="2318">
        <f>F48+H48+J48</f>
        <v>0</v>
      </c>
      <c r="L48" s="1328"/>
      <c r="M48" s="1243"/>
      <c r="N48" s="1243"/>
      <c r="O48" s="1243"/>
      <c r="P48" s="700" t="str">
        <f>A48</f>
        <v>比较价值（元/平方米）</v>
      </c>
      <c r="Q48" s="700"/>
      <c r="R48" s="1378">
        <f>IF(F1="售价",ROUND(PRODUCT(R47,AA7:AA46),0),ROUND(PRODUCT(R47,AA7:AA46),1))</f>
        <v>132451</v>
      </c>
      <c r="S48" s="1378"/>
      <c r="T48" s="1378">
        <f>IF(F1="售价",ROUND(PRODUCT(T47,AB7:AB46),0),ROUND(PRODUCT(T47,AB7:AB46),1))</f>
        <v>135488</v>
      </c>
      <c r="U48" s="1378"/>
      <c r="V48" s="1378">
        <f>IF(F1="售价",ROUND(PRODUCT(V47,AC7:AC46),0),ROUND(PRODUCT(V47,AC7:AC46),1))</f>
        <v>140133</v>
      </c>
      <c r="W48" s="1378"/>
      <c r="X48" s="1284"/>
      <c r="Y48" s="1284"/>
      <c r="Z48" s="1284"/>
      <c r="AA48" s="1284"/>
      <c r="AB48" s="1284"/>
      <c r="AC48" s="1284"/>
    </row>
    <row r="49" ht="15.75" spans="1:29">
      <c r="A49" s="1240" t="s">
        <v>1402</v>
      </c>
      <c r="B49" s="1241"/>
      <c r="C49" s="2300">
        <f>R49</f>
        <v>136024</v>
      </c>
      <c r="D49" s="1584"/>
      <c r="E49" s="1584"/>
      <c r="F49" s="1584"/>
      <c r="G49" s="1584"/>
      <c r="H49" s="1584"/>
      <c r="I49" s="1584"/>
      <c r="J49" s="1584"/>
      <c r="K49" s="2319"/>
      <c r="L49" s="1328"/>
      <c r="M49" s="1243"/>
      <c r="N49" s="1243"/>
      <c r="O49" s="1243"/>
      <c r="P49" s="1331" t="str">
        <f>A49</f>
        <v>估价对象XX用房的比较价值（楼面单价，元/平方米）</v>
      </c>
      <c r="Q49" s="1368"/>
      <c r="R49" s="1706">
        <f>IF(F1="售价",ROUND(IF(D48="简单平均",AVERAGE(R48:V48),R48*F48+T48*H48+V48*J48),0),ROUND(IF(D48="简单平均",AVERAGE(R48:V48),R48*F48+T48*H48+V48*J48),1))</f>
        <v>136024</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1403</v>
      </c>
      <c r="D52" s="744"/>
      <c r="E52" s="1246">
        <f>IF(E47&lt;E48,E48/E47-1,E47/E48-1)</f>
        <v>0.0527273738842922</v>
      </c>
      <c r="F52" s="1247" t="str">
        <f>IF(OR(E52&gt;=0.3,E52&lt;=-0.3),"超过30%","")</f>
        <v/>
      </c>
      <c r="G52" s="1246">
        <f>IF(G47&lt;G48,G48/G47-1,G47/G48-1)</f>
        <v>0.247449637240821</v>
      </c>
      <c r="H52" s="1247" t="str">
        <f>IF(OR(G52&gt;=0.3,G52&lt;=-0.3),"超过30%","")</f>
        <v/>
      </c>
      <c r="I52" s="1246">
        <f>IF(I47&lt;I48,I48/I47-1,I47/I48-1)</f>
        <v>0.156537312447386</v>
      </c>
      <c r="J52" s="1247" t="str">
        <f>IF(OR(I52&gt;=0.3,I52&lt;=-0.3),"超过30%","")</f>
        <v/>
      </c>
      <c r="K52" s="1332"/>
      <c r="L52" s="1333"/>
      <c r="M52" s="1243"/>
      <c r="N52" s="1243"/>
      <c r="O52" s="1243"/>
    </row>
    <row r="53" ht="13.5" customHeight="1" spans="1:15">
      <c r="A53" s="1243"/>
      <c r="B53" s="1243"/>
      <c r="C53" s="1245" t="s">
        <v>1404</v>
      </c>
      <c r="D53" s="743"/>
      <c r="E53" s="1246">
        <f>IF(E48&lt;G48,G48/E48-1,E48/G48-1)</f>
        <v>0.0229292342073673</v>
      </c>
      <c r="F53" s="1247" t="str">
        <f>IF(OR(E53&gt;=0.2,E53&lt;=-0.2),"超过20%","")</f>
        <v/>
      </c>
      <c r="G53" s="1246">
        <f>IF(G48&lt;I48,I48/G48-1,G48/I48-1)</f>
        <v>0.0342834789796882</v>
      </c>
      <c r="H53" s="1247" t="str">
        <f>IF(OR(G53&gt;=0.2,G53&lt;=-0.2),"超过20%","")</f>
        <v/>
      </c>
      <c r="I53" s="1246">
        <f>IF(I48&lt;E48,E48/I48-1,I48/E48-1)</f>
        <v>0.057998807106024</v>
      </c>
      <c r="J53" s="1247" t="str">
        <f>IF(OR(I53&gt;=0.2,I53&lt;=-0.2),"超过20%","")</f>
        <v/>
      </c>
      <c r="K53" s="1332"/>
      <c r="L53" s="1333"/>
      <c r="M53" s="1243"/>
      <c r="N53" s="1243"/>
      <c r="O53" s="1243"/>
    </row>
    <row r="54" s="1118" customFormat="1" ht="13.5" customHeight="1" spans="1:16">
      <c r="A54" s="1248"/>
      <c r="B54" s="1248"/>
      <c r="C54" s="1245" t="s">
        <v>1405</v>
      </c>
      <c r="D54" s="743"/>
      <c r="E54" s="1246">
        <f>IF(E47&lt;G47,G47/E47-1,E47/G47-1)</f>
        <v>0.158407910728096</v>
      </c>
      <c r="F54" s="1247" t="str">
        <f>IF(OR(E54&gt;=0.3,E54&lt;=-0.3),"超过30%","")</f>
        <v/>
      </c>
      <c r="G54" s="1246">
        <f>IF(G47&lt;I47,I47/G47-1,G47/I47-1)</f>
        <v>0.115585754796892</v>
      </c>
      <c r="H54" s="1247" t="str">
        <f>IF(OR(G54&gt;=0.3,G54&lt;=-0.3),"超过30%","")</f>
        <v/>
      </c>
      <c r="I54" s="1246">
        <f>IF(I47&lt;E47,E47/I47-1,I47/E47-1)</f>
        <v>0.0383853556278164</v>
      </c>
      <c r="J54" s="1247" t="str">
        <f>IF(OR(I54&gt;=0.3,I54&lt;=-0.3),"超过30%","")</f>
        <v/>
      </c>
      <c r="K54" s="1334"/>
      <c r="L54" s="1335"/>
      <c r="M54" s="1248"/>
      <c r="N54" s="1248"/>
      <c r="O54" s="1248"/>
      <c r="P54" s="2320"/>
    </row>
    <row r="55" s="1118" customFormat="1" spans="1:16">
      <c r="A55" s="1248"/>
      <c r="B55" s="1249"/>
      <c r="C55" s="1585"/>
      <c r="D55" s="1248"/>
      <c r="E55" s="1248"/>
      <c r="F55" s="1248"/>
      <c r="G55" s="1248"/>
      <c r="H55" s="1248"/>
      <c r="I55" s="1248"/>
      <c r="J55" s="1248"/>
      <c r="K55" s="1334"/>
      <c r="L55" s="1335"/>
      <c r="M55" s="1248"/>
      <c r="N55" s="1248"/>
      <c r="O55" s="1248"/>
      <c r="P55" s="2320"/>
    </row>
    <row r="56" spans="1:15">
      <c r="A56" s="1243"/>
      <c r="B56" s="1249"/>
      <c r="C56" s="1585"/>
      <c r="D56" s="1243"/>
      <c r="E56" s="1243"/>
      <c r="F56" s="1243"/>
      <c r="G56" s="1243"/>
      <c r="H56" s="1243"/>
      <c r="I56" s="1243"/>
      <c r="J56" s="1243"/>
      <c r="K56" s="1332"/>
      <c r="L56" s="1333"/>
      <c r="M56" s="1243"/>
      <c r="N56" s="1243"/>
      <c r="O56" s="1243"/>
    </row>
    <row r="57" ht="21" spans="1:17">
      <c r="A57" s="1283" t="s">
        <v>1406</v>
      </c>
      <c r="B57" s="1284"/>
      <c r="C57" s="1285"/>
      <c r="D57" s="1285"/>
      <c r="E57" s="1285"/>
      <c r="F57" s="1286"/>
      <c r="G57" s="1286"/>
      <c r="H57" s="1285"/>
      <c r="I57" s="1285"/>
      <c r="J57" s="1285"/>
      <c r="K57" s="1529"/>
      <c r="L57" s="1530"/>
      <c r="M57" s="1344"/>
      <c r="N57" s="1344"/>
      <c r="O57" s="1344"/>
      <c r="P57" s="2321"/>
      <c r="Q57" s="1696"/>
    </row>
    <row r="58" s="1120" customFormat="1" ht="15" spans="1:16">
      <c r="A58" s="1586" t="s">
        <v>1347</v>
      </c>
      <c r="B58" s="1587"/>
      <c r="C58" s="2301" t="str">
        <f>YEAR(C7)&amp;"-"&amp;MONTH(C7)</f>
        <v>2023-5</v>
      </c>
      <c r="D58" s="1589">
        <f>EDATE(C58,-1)</f>
        <v>45017</v>
      </c>
      <c r="E58" s="1589">
        <f>EDATE(D58,-1)</f>
        <v>44986</v>
      </c>
      <c r="F58" s="1589">
        <f t="shared" ref="F58:O58" si="19">EDATE(E58,-1)</f>
        <v>44958</v>
      </c>
      <c r="G58" s="1589">
        <f t="shared" si="19"/>
        <v>44927</v>
      </c>
      <c r="H58" s="1589">
        <f t="shared" si="19"/>
        <v>44896</v>
      </c>
      <c r="I58" s="1589">
        <f t="shared" si="19"/>
        <v>44866</v>
      </c>
      <c r="J58" s="1589">
        <f t="shared" si="19"/>
        <v>44835</v>
      </c>
      <c r="K58" s="1589">
        <f t="shared" si="19"/>
        <v>44805</v>
      </c>
      <c r="L58" s="1589">
        <f t="shared" si="19"/>
        <v>44774</v>
      </c>
      <c r="M58" s="1589">
        <f t="shared" si="19"/>
        <v>44743</v>
      </c>
      <c r="N58" s="1589">
        <f t="shared" si="19"/>
        <v>44713</v>
      </c>
      <c r="O58" s="1589">
        <f t="shared" si="19"/>
        <v>44682</v>
      </c>
      <c r="P58" s="2322"/>
    </row>
    <row r="59" s="1115" customFormat="1" ht="15" spans="1:16">
      <c r="A59" s="1590"/>
      <c r="B59" s="2302"/>
      <c r="C59" s="1591">
        <v>100</v>
      </c>
      <c r="D59" s="1725">
        <v>100</v>
      </c>
      <c r="E59" s="1396">
        <v>100</v>
      </c>
      <c r="F59" s="1396">
        <v>100</v>
      </c>
      <c r="G59" s="1396">
        <v>100</v>
      </c>
      <c r="H59" s="1396">
        <v>100</v>
      </c>
      <c r="I59" s="1396">
        <v>100</v>
      </c>
      <c r="J59" s="1396">
        <v>100</v>
      </c>
      <c r="K59" s="1396">
        <v>100</v>
      </c>
      <c r="L59" s="1396">
        <v>100</v>
      </c>
      <c r="M59" s="1598">
        <v>100</v>
      </c>
      <c r="N59" s="1396">
        <v>99.2</v>
      </c>
      <c r="O59" s="1598">
        <v>99.2</v>
      </c>
      <c r="P59" s="2323"/>
    </row>
    <row r="60" s="1115" customFormat="1" ht="15.75" spans="1:17">
      <c r="A60" s="1387" t="s">
        <v>1407</v>
      </c>
      <c r="B60" s="1388"/>
      <c r="C60" s="1389"/>
      <c r="D60" s="1390"/>
      <c r="E60" s="1390"/>
      <c r="F60" s="1390"/>
      <c r="G60" s="1390"/>
      <c r="H60" s="1390"/>
      <c r="I60" s="1390"/>
      <c r="J60" s="1390"/>
      <c r="K60" s="1390"/>
      <c r="L60" s="1390"/>
      <c r="M60" s="1438"/>
      <c r="N60" s="1390"/>
      <c r="O60" s="1438"/>
      <c r="P60" s="2323"/>
      <c r="Q60" s="1696"/>
    </row>
    <row r="61" s="1115" customFormat="1" ht="15" spans="1:17">
      <c r="A61" s="1391" t="s">
        <v>1350</v>
      </c>
      <c r="B61" s="1392"/>
      <c r="C61" s="1393" t="s">
        <v>1408</v>
      </c>
      <c r="D61" s="1394"/>
      <c r="E61" s="1394"/>
      <c r="F61" s="1394"/>
      <c r="G61" s="1394"/>
      <c r="H61" s="1394"/>
      <c r="I61" s="1394"/>
      <c r="J61" s="1394"/>
      <c r="K61" s="1394"/>
      <c r="L61" s="1440"/>
      <c r="M61" s="1441"/>
      <c r="N61" s="1699"/>
      <c r="O61" s="1699"/>
      <c r="P61" s="2324"/>
      <c r="Q61" s="1696"/>
    </row>
    <row r="62" s="1115" customFormat="1" ht="15.75" spans="1:17">
      <c r="A62" s="1391"/>
      <c r="B62" s="1392"/>
      <c r="C62" s="1725">
        <v>100</v>
      </c>
      <c r="D62" s="1396"/>
      <c r="E62" s="1396"/>
      <c r="F62" s="1396"/>
      <c r="G62" s="1396"/>
      <c r="H62" s="1396"/>
      <c r="I62" s="1396"/>
      <c r="J62" s="1396"/>
      <c r="K62" s="1396"/>
      <c r="L62" s="1396"/>
      <c r="M62" s="1444"/>
      <c r="N62" s="1699"/>
      <c r="O62" s="1699"/>
      <c r="P62" s="2323"/>
      <c r="Q62" s="1696"/>
    </row>
    <row r="63" spans="1:17">
      <c r="A63" s="1397" t="s">
        <v>1409</v>
      </c>
      <c r="B63" s="1398" t="s">
        <v>1354</v>
      </c>
      <c r="C63" s="1420" t="str">
        <f>C9</f>
        <v>住宅</v>
      </c>
      <c r="D63" s="1325"/>
      <c r="E63" s="1325"/>
      <c r="F63" s="1325"/>
      <c r="G63" s="1325"/>
      <c r="H63" s="1325"/>
      <c r="I63" s="1325"/>
      <c r="J63" s="1325"/>
      <c r="K63" s="1445"/>
      <c r="L63" s="1446"/>
      <c r="M63" s="1447"/>
      <c r="N63" s="1701"/>
      <c r="O63" s="1701"/>
      <c r="P63" s="2325"/>
      <c r="Q63" s="1696"/>
    </row>
    <row r="64" ht="15.75" spans="1:17">
      <c r="A64" s="1399"/>
      <c r="B64" s="1400"/>
      <c r="C64" s="1401">
        <v>100</v>
      </c>
      <c r="D64" s="1401"/>
      <c r="E64" s="1401"/>
      <c r="F64" s="1401"/>
      <c r="G64" s="1401"/>
      <c r="H64" s="1401"/>
      <c r="I64" s="1401"/>
      <c r="J64" s="1401"/>
      <c r="K64" s="1401"/>
      <c r="L64" s="1401"/>
      <c r="M64" s="1450"/>
      <c r="N64" s="1703"/>
      <c r="O64" s="1703"/>
      <c r="P64" s="2325"/>
      <c r="Q64" s="1696"/>
    </row>
    <row r="65" ht="27.75" spans="1:17">
      <c r="A65" s="1399"/>
      <c r="B65" s="1402" t="s">
        <v>1357</v>
      </c>
      <c r="C65" s="1427"/>
      <c r="D65" s="1427"/>
      <c r="E65" s="1427"/>
      <c r="F65" s="1427"/>
      <c r="G65" s="1427"/>
      <c r="H65" s="1427"/>
      <c r="I65" s="1427"/>
      <c r="J65" s="1427"/>
      <c r="K65" s="1427"/>
      <c r="L65" s="1427"/>
      <c r="M65" s="1427"/>
      <c r="N65" s="1703"/>
      <c r="O65" s="1703"/>
      <c r="P65" s="2325"/>
      <c r="Q65" s="1696"/>
    </row>
    <row r="66" ht="15.75" spans="1:17">
      <c r="A66" s="1399"/>
      <c r="B66" s="1404"/>
      <c r="C66" s="1401"/>
      <c r="D66" s="1401"/>
      <c r="E66" s="1401"/>
      <c r="F66" s="1401"/>
      <c r="G66" s="1401"/>
      <c r="H66" s="1401"/>
      <c r="I66" s="1401"/>
      <c r="J66" s="1401"/>
      <c r="K66" s="1401"/>
      <c r="L66" s="1401"/>
      <c r="M66" s="1450"/>
      <c r="N66" s="1703"/>
      <c r="O66" s="1703"/>
      <c r="P66" s="2325"/>
      <c r="Q66" s="1696"/>
    </row>
    <row r="67" ht="15.75" spans="1:17">
      <c r="A67" s="1399"/>
      <c r="B67" s="1406" t="s">
        <v>1358</v>
      </c>
      <c r="C67" s="1407" t="str">
        <f>C68&amp;"（含）"&amp;"-"&amp;D68</f>
        <v>0（含）-1</v>
      </c>
      <c r="D67" s="1407" t="str">
        <f t="shared" ref="D67:L67" si="20">D68&amp;"（含）"&amp;"-"&amp;E68</f>
        <v>1（含）-2</v>
      </c>
      <c r="E67" s="1407" t="str">
        <f t="shared" si="20"/>
        <v>2（含）-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2325"/>
      <c r="Q67" s="1696"/>
    </row>
    <row r="68" ht="15" spans="1:17">
      <c r="A68" s="1399"/>
      <c r="B68" s="1408"/>
      <c r="C68" s="1174">
        <v>0</v>
      </c>
      <c r="D68" s="1174">
        <v>1</v>
      </c>
      <c r="E68" s="1174">
        <v>2</v>
      </c>
      <c r="F68" s="1174"/>
      <c r="G68" s="1174"/>
      <c r="H68" s="1174"/>
      <c r="I68" s="1174"/>
      <c r="J68" s="1174"/>
      <c r="K68" s="1456"/>
      <c r="L68" s="1457"/>
      <c r="M68" s="1458"/>
      <c r="N68" s="1701"/>
      <c r="O68" s="1701"/>
      <c r="P68" s="2325"/>
      <c r="Q68" s="1696"/>
    </row>
    <row r="69" ht="15.7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2325"/>
      <c r="Q69" s="1696"/>
    </row>
    <row r="70" s="1117" customFormat="1" ht="15.75" spans="1:17">
      <c r="A70" s="1409"/>
      <c r="B70" s="1402">
        <f>B12</f>
        <v>111</v>
      </c>
      <c r="C70" s="1410"/>
      <c r="D70" s="1410"/>
      <c r="E70" s="1410"/>
      <c r="F70" s="1410"/>
      <c r="G70" s="1410"/>
      <c r="H70" s="1411"/>
      <c r="I70" s="1411"/>
      <c r="J70" s="1411"/>
      <c r="K70" s="1411"/>
      <c r="L70" s="1459"/>
      <c r="M70" s="1460"/>
      <c r="N70" s="1704"/>
      <c r="O70" s="1704"/>
      <c r="P70" s="2336"/>
      <c r="Q70" s="1707"/>
    </row>
    <row r="71" s="1117" customFormat="1" ht="15.75" spans="1:17">
      <c r="A71" s="1409"/>
      <c r="B71" s="1404"/>
      <c r="C71" s="1412"/>
      <c r="D71" s="1401"/>
      <c r="E71" s="1401"/>
      <c r="F71" s="1401"/>
      <c r="G71" s="1401"/>
      <c r="H71" s="1401"/>
      <c r="I71" s="1401"/>
      <c r="J71" s="1401"/>
      <c r="K71" s="1401"/>
      <c r="L71" s="1401"/>
      <c r="M71" s="1450"/>
      <c r="N71" s="1703"/>
      <c r="O71" s="1703"/>
      <c r="P71" s="2336"/>
      <c r="Q71" s="1707"/>
    </row>
    <row r="72" s="1117" customFormat="1" ht="15.75" spans="1:17">
      <c r="A72" s="1409"/>
      <c r="B72" s="1402">
        <f>B13</f>
        <v>111</v>
      </c>
      <c r="C72" s="1410"/>
      <c r="D72" s="1410"/>
      <c r="E72" s="1410"/>
      <c r="F72" s="1410"/>
      <c r="G72" s="1410"/>
      <c r="H72" s="1411"/>
      <c r="I72" s="1411"/>
      <c r="J72" s="1411"/>
      <c r="K72" s="1411"/>
      <c r="L72" s="1459"/>
      <c r="M72" s="1460"/>
      <c r="N72" s="1704"/>
      <c r="O72" s="1704"/>
      <c r="P72" s="2337"/>
      <c r="Q72" s="1713"/>
    </row>
    <row r="73" s="1117" customFormat="1" ht="15.75" spans="1:17">
      <c r="A73" s="1409"/>
      <c r="B73" s="1404"/>
      <c r="C73" s="1412"/>
      <c r="D73" s="1412"/>
      <c r="E73" s="1412"/>
      <c r="F73" s="1412"/>
      <c r="G73" s="1412"/>
      <c r="H73" s="1413"/>
      <c r="I73" s="1413"/>
      <c r="J73" s="1413"/>
      <c r="K73" s="1413"/>
      <c r="L73" s="1413"/>
      <c r="M73" s="1463"/>
      <c r="N73" s="1704"/>
      <c r="O73" s="1704"/>
      <c r="P73" s="2336"/>
      <c r="Q73" s="1707"/>
    </row>
    <row r="74" s="1117" customFormat="1" ht="15.75" spans="1:17">
      <c r="A74" s="1409"/>
      <c r="B74" s="1406">
        <f>B14</f>
        <v>111</v>
      </c>
      <c r="C74" s="1410"/>
      <c r="D74" s="1410"/>
      <c r="E74" s="1410"/>
      <c r="F74" s="1410"/>
      <c r="G74" s="1394"/>
      <c r="H74" s="1414"/>
      <c r="I74" s="1414"/>
      <c r="J74" s="1414"/>
      <c r="K74" s="1414"/>
      <c r="L74" s="1464"/>
      <c r="M74" s="1465"/>
      <c r="N74" s="1704"/>
      <c r="O74" s="1704"/>
      <c r="P74" s="2338"/>
      <c r="Q74" s="1707"/>
    </row>
    <row r="75" s="1117" customFormat="1" ht="15.75" spans="1:17">
      <c r="A75" s="1415"/>
      <c r="B75" s="1416"/>
      <c r="C75" s="1417"/>
      <c r="D75" s="1417"/>
      <c r="E75" s="1417"/>
      <c r="F75" s="1417"/>
      <c r="G75" s="1417"/>
      <c r="H75" s="1418"/>
      <c r="I75" s="1418"/>
      <c r="J75" s="1418"/>
      <c r="K75" s="1418"/>
      <c r="L75" s="1418"/>
      <c r="M75" s="1467"/>
      <c r="N75" s="1704"/>
      <c r="O75" s="1704"/>
      <c r="P75" s="2336"/>
      <c r="Q75" s="1707"/>
    </row>
    <row r="76" spans="1:17">
      <c r="A76" s="1397" t="s">
        <v>1359</v>
      </c>
      <c r="B76" s="1398" t="s">
        <v>1360</v>
      </c>
      <c r="C76" s="1419" t="s">
        <v>1410</v>
      </c>
      <c r="D76" s="1419" t="s">
        <v>1411</v>
      </c>
      <c r="E76" s="1419" t="s">
        <v>1412</v>
      </c>
      <c r="F76" s="1419" t="s">
        <v>1413</v>
      </c>
      <c r="G76" s="1419" t="s">
        <v>1414</v>
      </c>
      <c r="H76" s="1420"/>
      <c r="I76" s="1420"/>
      <c r="J76" s="1420"/>
      <c r="K76" s="1468"/>
      <c r="L76" s="1469"/>
      <c r="M76" s="1470"/>
      <c r="N76" s="1701"/>
      <c r="O76" s="1701"/>
      <c r="P76" s="2339"/>
      <c r="Q76" s="1696"/>
    </row>
    <row r="77" ht="15.7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2325"/>
      <c r="Q77" s="1696"/>
    </row>
    <row r="78" ht="15.75" spans="1:17">
      <c r="A78" s="1399"/>
      <c r="B78" s="1402" t="s">
        <v>1363</v>
      </c>
      <c r="C78" s="1421" t="s">
        <v>1410</v>
      </c>
      <c r="D78" s="1421" t="s">
        <v>1411</v>
      </c>
      <c r="E78" s="1421" t="s">
        <v>1412</v>
      </c>
      <c r="F78" s="1421" t="s">
        <v>1413</v>
      </c>
      <c r="G78" s="1421" t="s">
        <v>1414</v>
      </c>
      <c r="H78" s="1403"/>
      <c r="I78" s="1403"/>
      <c r="J78" s="1403"/>
      <c r="K78" s="1452"/>
      <c r="L78" s="1453"/>
      <c r="M78" s="1454"/>
      <c r="N78" s="1701"/>
      <c r="O78" s="1701"/>
      <c r="P78" s="2325"/>
      <c r="Q78" s="1696"/>
    </row>
    <row r="79" ht="15.7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2325"/>
      <c r="Q79" s="1696"/>
    </row>
    <row r="80" ht="15.75" spans="1:17">
      <c r="A80" s="1399"/>
      <c r="B80" s="1402" t="s">
        <v>1364</v>
      </c>
      <c r="C80" s="1421" t="s">
        <v>1410</v>
      </c>
      <c r="D80" s="1421" t="s">
        <v>1411</v>
      </c>
      <c r="E80" s="1421" t="s">
        <v>1412</v>
      </c>
      <c r="F80" s="1421" t="s">
        <v>1413</v>
      </c>
      <c r="G80" s="1421" t="s">
        <v>1414</v>
      </c>
      <c r="H80" s="1403"/>
      <c r="I80" s="1403"/>
      <c r="J80" s="1403"/>
      <c r="K80" s="1452"/>
      <c r="L80" s="1453"/>
      <c r="M80" s="1454"/>
      <c r="N80" s="1701"/>
      <c r="O80" s="1701"/>
      <c r="P80" s="2325"/>
      <c r="Q80" s="1696"/>
    </row>
    <row r="81" ht="15.7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2325"/>
      <c r="Q81" s="1696"/>
    </row>
    <row r="82" ht="15.75" spans="1:17">
      <c r="A82" s="1399"/>
      <c r="B82" s="1406" t="s">
        <v>1366</v>
      </c>
      <c r="C82" s="1403" t="s">
        <v>1415</v>
      </c>
      <c r="D82" s="1403" t="s">
        <v>1416</v>
      </c>
      <c r="E82" s="1403" t="s">
        <v>1417</v>
      </c>
      <c r="F82" s="1403" t="s">
        <v>1418</v>
      </c>
      <c r="G82" s="1403" t="s">
        <v>1419</v>
      </c>
      <c r="H82" s="1403"/>
      <c r="I82" s="1403"/>
      <c r="J82" s="1403"/>
      <c r="K82" s="1403"/>
      <c r="L82" s="1403"/>
      <c r="M82" s="1604"/>
      <c r="N82" s="1703"/>
      <c r="O82" s="1703"/>
      <c r="P82" s="2325"/>
      <c r="Q82" s="1696"/>
    </row>
    <row r="83" ht="15.7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2325"/>
      <c r="Q83" s="1696"/>
    </row>
    <row r="84" ht="15.75" spans="1:17">
      <c r="A84" s="1399"/>
      <c r="B84" s="1402" t="s">
        <v>1367</v>
      </c>
      <c r="C84" s="1421" t="s">
        <v>1410</v>
      </c>
      <c r="D84" s="1421" t="s">
        <v>1411</v>
      </c>
      <c r="E84" s="1421" t="s">
        <v>1412</v>
      </c>
      <c r="F84" s="1421" t="s">
        <v>1413</v>
      </c>
      <c r="G84" s="1421" t="s">
        <v>1414</v>
      </c>
      <c r="H84" s="1403"/>
      <c r="I84" s="1403"/>
      <c r="J84" s="1403"/>
      <c r="K84" s="1452"/>
      <c r="L84" s="1453"/>
      <c r="M84" s="1454"/>
      <c r="N84" s="1701"/>
      <c r="O84" s="1701"/>
      <c r="P84" s="2325"/>
      <c r="Q84" s="1696"/>
    </row>
    <row r="85" ht="15.7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2325"/>
      <c r="Q85" s="1696"/>
    </row>
    <row r="86" s="1115" customFormat="1" ht="15.75" spans="1:17">
      <c r="A86" s="1422"/>
      <c r="B86" s="1402" t="s">
        <v>1368</v>
      </c>
      <c r="C86" s="1410"/>
      <c r="D86" s="1410"/>
      <c r="E86" s="1410"/>
      <c r="F86" s="1410"/>
      <c r="G86" s="1410"/>
      <c r="H86" s="1410"/>
      <c r="I86" s="1410"/>
      <c r="J86" s="1410"/>
      <c r="K86" s="1410"/>
      <c r="L86" s="1605"/>
      <c r="M86" s="1606"/>
      <c r="N86" s="1699"/>
      <c r="O86" s="1699"/>
      <c r="P86" s="2325"/>
      <c r="Q86" s="1696"/>
    </row>
    <row r="87" s="1115" customFormat="1" ht="15.7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2325"/>
      <c r="Q87" s="1696"/>
    </row>
    <row r="88" s="1115" customFormat="1" ht="15.75" spans="1:17">
      <c r="A88" s="1422"/>
      <c r="B88" s="1402" t="s">
        <v>1369</v>
      </c>
      <c r="C88" s="2329" t="s">
        <v>1370</v>
      </c>
      <c r="D88" s="2329" t="s">
        <v>1420</v>
      </c>
      <c r="E88" s="2329" t="s">
        <v>1371</v>
      </c>
      <c r="F88" s="2329" t="s">
        <v>1421</v>
      </c>
      <c r="G88" s="2329" t="s">
        <v>1373</v>
      </c>
      <c r="H88" s="2330" t="s">
        <v>1422</v>
      </c>
      <c r="I88" s="2329" t="s">
        <v>1372</v>
      </c>
      <c r="J88" s="2329"/>
      <c r="K88" s="2329"/>
      <c r="L88" s="2329"/>
      <c r="M88" s="1606"/>
      <c r="N88" s="1699"/>
      <c r="O88" s="1699"/>
      <c r="P88" s="2325"/>
      <c r="Q88" s="1696"/>
    </row>
    <row r="89" s="1115" customFormat="1" ht="15.75" spans="1:17">
      <c r="A89" s="1422"/>
      <c r="B89" s="1404"/>
      <c r="C89" s="1423">
        <v>100</v>
      </c>
      <c r="D89" s="1405">
        <f t="shared" ref="D89:M89" si="24">C89-$K26</f>
        <v>98</v>
      </c>
      <c r="E89" s="1405">
        <f t="shared" si="24"/>
        <v>96</v>
      </c>
      <c r="F89" s="1405">
        <f t="shared" si="24"/>
        <v>94</v>
      </c>
      <c r="G89" s="1405">
        <f t="shared" si="24"/>
        <v>92</v>
      </c>
      <c r="H89" s="1405">
        <f t="shared" si="24"/>
        <v>90</v>
      </c>
      <c r="I89" s="1405">
        <f t="shared" si="24"/>
        <v>88</v>
      </c>
      <c r="J89" s="1405">
        <f t="shared" si="24"/>
        <v>86</v>
      </c>
      <c r="K89" s="1405">
        <f t="shared" si="24"/>
        <v>84</v>
      </c>
      <c r="L89" s="1405">
        <f t="shared" si="24"/>
        <v>82</v>
      </c>
      <c r="M89" s="1405">
        <f t="shared" si="24"/>
        <v>80</v>
      </c>
      <c r="N89" s="1703"/>
      <c r="O89" s="1703"/>
      <c r="P89" s="2325"/>
      <c r="Q89" s="1696"/>
    </row>
    <row r="90" s="1117" customFormat="1" ht="15.75" spans="1:17">
      <c r="A90" s="1409"/>
      <c r="B90" s="1402" t="str">
        <f>B27</f>
        <v>楼层</v>
      </c>
      <c r="C90" s="2331" t="s">
        <v>1423</v>
      </c>
      <c r="D90" s="2331" t="s">
        <v>1424</v>
      </c>
      <c r="E90" s="2331" t="s">
        <v>1375</v>
      </c>
      <c r="F90" s="2331" t="s">
        <v>1376</v>
      </c>
      <c r="G90" s="2331" t="s">
        <v>1425</v>
      </c>
      <c r="H90" s="2332"/>
      <c r="I90" s="2332"/>
      <c r="J90" s="2332"/>
      <c r="K90" s="2332"/>
      <c r="L90" s="2340"/>
      <c r="M90" s="2341"/>
      <c r="N90" s="1704"/>
      <c r="O90" s="1704"/>
      <c r="P90" s="2336"/>
      <c r="Q90" s="1707"/>
    </row>
    <row r="91" s="1117" customFormat="1" ht="15.75" spans="1:17">
      <c r="A91" s="1409"/>
      <c r="B91" s="1404"/>
      <c r="C91" s="1412">
        <v>100</v>
      </c>
      <c r="D91" s="1412">
        <v>101</v>
      </c>
      <c r="E91" s="1412">
        <v>102</v>
      </c>
      <c r="F91" s="1412">
        <v>103</v>
      </c>
      <c r="G91" s="1412">
        <v>104</v>
      </c>
      <c r="H91" s="1413"/>
      <c r="I91" s="1413"/>
      <c r="J91" s="1413"/>
      <c r="K91" s="1413"/>
      <c r="L91" s="1413"/>
      <c r="M91" s="1463"/>
      <c r="N91" s="1704"/>
      <c r="O91" s="1704"/>
      <c r="P91" s="2336"/>
      <c r="Q91" s="1707"/>
    </row>
    <row r="92" ht="15.75" spans="1:17">
      <c r="A92" s="1399"/>
      <c r="B92" s="1402">
        <f>B28</f>
        <v>111</v>
      </c>
      <c r="C92" s="1410"/>
      <c r="D92" s="1410"/>
      <c r="E92" s="1410"/>
      <c r="F92" s="1410"/>
      <c r="G92" s="1427"/>
      <c r="H92" s="1427"/>
      <c r="I92" s="1427"/>
      <c r="J92" s="1427"/>
      <c r="K92" s="1478"/>
      <c r="L92" s="1479"/>
      <c r="M92" s="1480"/>
      <c r="N92" s="1701"/>
      <c r="O92" s="1701"/>
      <c r="P92" s="2325"/>
      <c r="Q92" s="1696"/>
    </row>
    <row r="93" ht="15.75" spans="1:17">
      <c r="A93" s="1399"/>
      <c r="B93" s="1404"/>
      <c r="C93" s="1412"/>
      <c r="D93" s="1401"/>
      <c r="E93" s="1401"/>
      <c r="F93" s="1401"/>
      <c r="G93" s="1401"/>
      <c r="H93" s="1401"/>
      <c r="I93" s="1401"/>
      <c r="J93" s="1401"/>
      <c r="K93" s="1401"/>
      <c r="L93" s="1401"/>
      <c r="M93" s="1450"/>
      <c r="N93" s="1703"/>
      <c r="O93" s="1703"/>
      <c r="P93" s="2325"/>
      <c r="Q93" s="1696"/>
    </row>
    <row r="94" ht="15.75" spans="1:17">
      <c r="A94" s="1399"/>
      <c r="B94" s="1402">
        <f>B29</f>
        <v>111</v>
      </c>
      <c r="C94" s="1410"/>
      <c r="D94" s="1410"/>
      <c r="E94" s="1410"/>
      <c r="F94" s="1410"/>
      <c r="G94" s="1427"/>
      <c r="H94" s="1427"/>
      <c r="I94" s="1427"/>
      <c r="J94" s="1427"/>
      <c r="K94" s="1478"/>
      <c r="L94" s="1479"/>
      <c r="M94" s="1480"/>
      <c r="N94" s="1701"/>
      <c r="O94" s="1701"/>
      <c r="P94" s="2325"/>
      <c r="Q94" s="1696"/>
    </row>
    <row r="95" ht="15.75" spans="1:17">
      <c r="A95" s="1399"/>
      <c r="B95" s="1404"/>
      <c r="C95" s="1412"/>
      <c r="D95" s="1412"/>
      <c r="E95" s="1412"/>
      <c r="F95" s="1412"/>
      <c r="G95" s="1401"/>
      <c r="H95" s="1401"/>
      <c r="I95" s="1401"/>
      <c r="J95" s="1401"/>
      <c r="K95" s="1401"/>
      <c r="L95" s="1401"/>
      <c r="M95" s="1450"/>
      <c r="N95" s="1703"/>
      <c r="O95" s="1703"/>
      <c r="P95" s="2325"/>
      <c r="Q95" s="1696"/>
    </row>
    <row r="96" ht="15.75" spans="1:17">
      <c r="A96" s="1399"/>
      <c r="B96" s="1402">
        <f>B30</f>
        <v>111</v>
      </c>
      <c r="C96" s="1410"/>
      <c r="D96" s="1410"/>
      <c r="E96" s="1410"/>
      <c r="F96" s="1410"/>
      <c r="G96" s="1427"/>
      <c r="H96" s="1427"/>
      <c r="I96" s="1427"/>
      <c r="J96" s="1427"/>
      <c r="K96" s="1478"/>
      <c r="L96" s="1479"/>
      <c r="M96" s="1480"/>
      <c r="N96" s="1701"/>
      <c r="O96" s="1701"/>
      <c r="P96" s="2325"/>
      <c r="Q96" s="1696"/>
    </row>
    <row r="97" ht="15.75" spans="1:17">
      <c r="A97" s="1399"/>
      <c r="B97" s="1404"/>
      <c r="C97" s="1417"/>
      <c r="D97" s="1417"/>
      <c r="E97" s="1417"/>
      <c r="F97" s="1417"/>
      <c r="G97" s="1401"/>
      <c r="H97" s="1401"/>
      <c r="I97" s="1401"/>
      <c r="J97" s="1401"/>
      <c r="K97" s="1401"/>
      <c r="L97" s="1401"/>
      <c r="M97" s="1450"/>
      <c r="N97" s="1703"/>
      <c r="O97" s="1703"/>
      <c r="P97" s="2325"/>
      <c r="Q97" s="1696"/>
    </row>
    <row r="98" ht="15.75" spans="1:17">
      <c r="A98" s="1399"/>
      <c r="B98" s="1406">
        <f>B31</f>
        <v>111</v>
      </c>
      <c r="C98" s="1428"/>
      <c r="D98" s="1428"/>
      <c r="E98" s="1428"/>
      <c r="F98" s="1428"/>
      <c r="G98" s="1428"/>
      <c r="H98" s="1428"/>
      <c r="I98" s="1428"/>
      <c r="J98" s="1428"/>
      <c r="K98" s="1481"/>
      <c r="L98" s="1482"/>
      <c r="M98" s="1483"/>
      <c r="N98" s="1701"/>
      <c r="O98" s="1701"/>
      <c r="P98" s="2325"/>
      <c r="Q98" s="1696"/>
    </row>
    <row r="99" ht="15.75" spans="1:17">
      <c r="A99" s="1708"/>
      <c r="B99" s="1416"/>
      <c r="C99" s="1429"/>
      <c r="D99" s="1429"/>
      <c r="E99" s="1429"/>
      <c r="F99" s="1429"/>
      <c r="G99" s="1429"/>
      <c r="H99" s="1429"/>
      <c r="I99" s="1429"/>
      <c r="J99" s="1429"/>
      <c r="K99" s="1429"/>
      <c r="L99" s="1429"/>
      <c r="M99" s="1484"/>
      <c r="N99" s="1703"/>
      <c r="O99" s="1703"/>
      <c r="P99" s="2325"/>
      <c r="Q99" s="1696"/>
    </row>
    <row r="100" spans="1:17">
      <c r="A100" s="1397" t="s">
        <v>1377</v>
      </c>
      <c r="B100" s="1398" t="s">
        <v>1378</v>
      </c>
      <c r="C100" s="2333" t="s">
        <v>1426</v>
      </c>
      <c r="D100" s="2333" t="s">
        <v>1379</v>
      </c>
      <c r="E100" s="2333" t="s">
        <v>1427</v>
      </c>
      <c r="F100" s="2333" t="s">
        <v>1428</v>
      </c>
      <c r="G100" s="2333" t="s">
        <v>1380</v>
      </c>
      <c r="H100" s="1325"/>
      <c r="I100" s="1325"/>
      <c r="J100" s="1325"/>
      <c r="K100" s="1445"/>
      <c r="L100" s="1446"/>
      <c r="M100" s="1447"/>
      <c r="N100" s="1701"/>
      <c r="O100" s="1701"/>
      <c r="P100" s="2325"/>
      <c r="Q100" s="1696"/>
    </row>
    <row r="101" ht="15.75" spans="1:17">
      <c r="A101" s="1399"/>
      <c r="B101" s="1404"/>
      <c r="C101" s="1405">
        <v>100</v>
      </c>
      <c r="D101" s="1405">
        <f t="shared" ref="D101:M101" si="25">C101-$K32</f>
        <v>99</v>
      </c>
      <c r="E101" s="1405">
        <f t="shared" si="25"/>
        <v>98</v>
      </c>
      <c r="F101" s="1405">
        <f t="shared" si="25"/>
        <v>97</v>
      </c>
      <c r="G101" s="2334">
        <v>98</v>
      </c>
      <c r="H101" s="1405">
        <f t="shared" si="25"/>
        <v>97</v>
      </c>
      <c r="I101" s="1405">
        <f t="shared" si="25"/>
        <v>96</v>
      </c>
      <c r="J101" s="1405">
        <f t="shared" si="25"/>
        <v>95</v>
      </c>
      <c r="K101" s="1405">
        <f t="shared" si="25"/>
        <v>94</v>
      </c>
      <c r="L101" s="1405">
        <f t="shared" si="25"/>
        <v>93</v>
      </c>
      <c r="M101" s="1405">
        <f t="shared" si="25"/>
        <v>92</v>
      </c>
      <c r="N101" s="1703"/>
      <c r="O101" s="1703"/>
      <c r="P101" s="2325"/>
      <c r="Q101" s="1696"/>
    </row>
    <row r="102" ht="15.75" spans="1:17">
      <c r="A102" s="1399"/>
      <c r="B102" s="1402" t="s">
        <v>1382</v>
      </c>
      <c r="C102" s="1421" t="str">
        <f>C103&amp;"(含)"&amp;"-"&amp;D103</f>
        <v>0(含)-50</v>
      </c>
      <c r="D102" s="1421" t="str">
        <f t="shared" ref="D102:L102" si="26">D103&amp;"(含)"&amp;"-"&amp;E103</f>
        <v>50(含)-75</v>
      </c>
      <c r="E102" s="1421" t="str">
        <f t="shared" si="26"/>
        <v>75(含)-95</v>
      </c>
      <c r="F102" s="1421" t="str">
        <f t="shared" si="26"/>
        <v>95(含)-120</v>
      </c>
      <c r="G102" s="1421" t="str">
        <f t="shared" si="26"/>
        <v>120(含)-150</v>
      </c>
      <c r="H102" s="1421" t="str">
        <f t="shared" si="26"/>
        <v>150(含)-180</v>
      </c>
      <c r="I102" s="1421" t="str">
        <f t="shared" si="26"/>
        <v>180(含)-</v>
      </c>
      <c r="J102" s="1421" t="str">
        <f t="shared" si="26"/>
        <v>(含)-</v>
      </c>
      <c r="K102" s="1421" t="str">
        <f t="shared" si="26"/>
        <v>(含)-</v>
      </c>
      <c r="L102" s="1421" t="str">
        <f t="shared" si="26"/>
        <v>(含)-</v>
      </c>
      <c r="M102" s="1421" t="str">
        <f>M103&amp;"(含)"&amp;"-"&amp;P103</f>
        <v>(含)-</v>
      </c>
      <c r="N102" s="1699"/>
      <c r="O102" s="1699"/>
      <c r="P102" s="2325"/>
      <c r="Q102" s="1696"/>
    </row>
    <row r="103" s="1117" customFormat="1" ht="15" spans="1:17">
      <c r="A103" s="1430"/>
      <c r="B103" s="1431"/>
      <c r="C103" s="1386">
        <v>0</v>
      </c>
      <c r="D103" s="1386">
        <v>50</v>
      </c>
      <c r="E103" s="1386">
        <v>75</v>
      </c>
      <c r="F103" s="1386">
        <v>95</v>
      </c>
      <c r="G103" s="1386">
        <v>120</v>
      </c>
      <c r="H103" s="1386">
        <v>150</v>
      </c>
      <c r="I103" s="1386">
        <v>180</v>
      </c>
      <c r="J103" s="1485"/>
      <c r="K103" s="1485"/>
      <c r="L103" s="1486"/>
      <c r="M103" s="1487"/>
      <c r="N103" s="1704"/>
      <c r="O103" s="1704"/>
      <c r="P103" s="2336"/>
      <c r="Q103" s="1707"/>
    </row>
    <row r="104" s="1117" customFormat="1" ht="15.75" spans="1:17">
      <c r="A104" s="1409"/>
      <c r="B104" s="1404"/>
      <c r="C104" s="1412">
        <v>100</v>
      </c>
      <c r="D104" s="1401">
        <v>99</v>
      </c>
      <c r="E104" s="1401">
        <v>98</v>
      </c>
      <c r="F104" s="1401">
        <v>97</v>
      </c>
      <c r="G104" s="1401">
        <v>96</v>
      </c>
      <c r="H104" s="1401">
        <v>95</v>
      </c>
      <c r="I104" s="1401">
        <v>94</v>
      </c>
      <c r="J104" s="1401"/>
      <c r="K104" s="1401"/>
      <c r="L104" s="1401"/>
      <c r="M104" s="1401"/>
      <c r="N104" s="1703"/>
      <c r="O104" s="1703"/>
      <c r="P104" s="2336"/>
      <c r="Q104" s="1707"/>
    </row>
    <row r="105" ht="15.75" spans="1:17">
      <c r="A105" s="1433"/>
      <c r="B105" s="1402" t="s">
        <v>1383</v>
      </c>
      <c r="C105" s="2329" t="s">
        <v>1384</v>
      </c>
      <c r="D105" s="1410"/>
      <c r="E105" s="1427"/>
      <c r="F105" s="1427"/>
      <c r="G105" s="1427"/>
      <c r="H105" s="1427"/>
      <c r="I105" s="1427"/>
      <c r="J105" s="1427"/>
      <c r="K105" s="1478"/>
      <c r="L105" s="1479"/>
      <c r="M105" s="1480"/>
      <c r="N105" s="1701"/>
      <c r="O105" s="1701"/>
      <c r="P105" s="2325"/>
      <c r="Q105" s="1696"/>
    </row>
    <row r="106" ht="15.75" spans="1:17">
      <c r="A106" s="1399"/>
      <c r="B106" s="1404"/>
      <c r="C106" s="1405">
        <v>100</v>
      </c>
      <c r="D106" s="1405">
        <f t="shared" ref="D106:M106" si="27">C106-$K34</f>
        <v>99</v>
      </c>
      <c r="E106" s="1405">
        <f t="shared" si="27"/>
        <v>98</v>
      </c>
      <c r="F106" s="1405">
        <f t="shared" si="27"/>
        <v>97</v>
      </c>
      <c r="G106" s="1405">
        <f t="shared" si="27"/>
        <v>96</v>
      </c>
      <c r="H106" s="1405">
        <f t="shared" si="27"/>
        <v>95</v>
      </c>
      <c r="I106" s="1405">
        <f t="shared" si="27"/>
        <v>94</v>
      </c>
      <c r="J106" s="1405">
        <f t="shared" si="27"/>
        <v>93</v>
      </c>
      <c r="K106" s="1405">
        <f t="shared" si="27"/>
        <v>92</v>
      </c>
      <c r="L106" s="1405">
        <f t="shared" si="27"/>
        <v>91</v>
      </c>
      <c r="M106" s="1405">
        <f t="shared" si="27"/>
        <v>90</v>
      </c>
      <c r="N106" s="1703"/>
      <c r="O106" s="1703"/>
      <c r="P106" s="2325"/>
      <c r="Q106" s="1696"/>
    </row>
    <row r="107" ht="15.75" spans="1:17">
      <c r="A107" s="1433"/>
      <c r="B107" s="1402" t="s">
        <v>1385</v>
      </c>
      <c r="C107" s="1427"/>
      <c r="D107" s="1427"/>
      <c r="E107" s="1427"/>
      <c r="F107" s="1427"/>
      <c r="G107" s="1427"/>
      <c r="H107" s="1427"/>
      <c r="I107" s="1427"/>
      <c r="J107" s="1427"/>
      <c r="K107" s="1478"/>
      <c r="L107" s="1479"/>
      <c r="M107" s="1480"/>
      <c r="N107" s="1701"/>
      <c r="O107" s="1701"/>
      <c r="P107" s="2325"/>
      <c r="Q107" s="1696"/>
    </row>
    <row r="108" ht="15.75" spans="1:17">
      <c r="A108" s="1399"/>
      <c r="B108" s="1404"/>
      <c r="C108" s="1405">
        <v>100</v>
      </c>
      <c r="D108" s="1405">
        <f t="shared" ref="D108:M108" si="28">C108-$K35</f>
        <v>99</v>
      </c>
      <c r="E108" s="1405">
        <f t="shared" si="28"/>
        <v>98</v>
      </c>
      <c r="F108" s="1405">
        <f t="shared" si="28"/>
        <v>97</v>
      </c>
      <c r="G108" s="1405">
        <f t="shared" si="28"/>
        <v>96</v>
      </c>
      <c r="H108" s="1405">
        <f t="shared" si="28"/>
        <v>95</v>
      </c>
      <c r="I108" s="1405">
        <f t="shared" si="28"/>
        <v>94</v>
      </c>
      <c r="J108" s="1405">
        <f t="shared" si="28"/>
        <v>93</v>
      </c>
      <c r="K108" s="1405">
        <f t="shared" si="28"/>
        <v>92</v>
      </c>
      <c r="L108" s="1405">
        <f t="shared" si="28"/>
        <v>91</v>
      </c>
      <c r="M108" s="1405">
        <f t="shared" si="28"/>
        <v>90</v>
      </c>
      <c r="N108" s="1703"/>
      <c r="O108" s="1703"/>
      <c r="P108" s="2325"/>
      <c r="Q108" s="1696"/>
    </row>
    <row r="109" ht="15.75" spans="1:17">
      <c r="A109" s="1433"/>
      <c r="B109" s="1402" t="s">
        <v>1386</v>
      </c>
      <c r="C109" s="2329" t="s">
        <v>1387</v>
      </c>
      <c r="D109" s="1410"/>
      <c r="E109" s="1410"/>
      <c r="F109" s="1427"/>
      <c r="G109" s="1427"/>
      <c r="H109" s="1427"/>
      <c r="I109" s="1427"/>
      <c r="J109" s="1427"/>
      <c r="K109" s="1478"/>
      <c r="L109" s="1479"/>
      <c r="M109" s="1480"/>
      <c r="N109" s="1701"/>
      <c r="O109" s="1701"/>
      <c r="P109" s="2325"/>
      <c r="Q109" s="1696"/>
    </row>
    <row r="110" ht="15.75" spans="1:17">
      <c r="A110" s="1399"/>
      <c r="B110" s="1404"/>
      <c r="C110" s="1405">
        <v>100</v>
      </c>
      <c r="D110" s="1405">
        <f t="shared" ref="D110:M110" si="29">C110-$K36</f>
        <v>99</v>
      </c>
      <c r="E110" s="1405">
        <f t="shared" si="29"/>
        <v>98</v>
      </c>
      <c r="F110" s="1405">
        <f t="shared" si="29"/>
        <v>97</v>
      </c>
      <c r="G110" s="1405">
        <f t="shared" si="29"/>
        <v>96</v>
      </c>
      <c r="H110" s="1405">
        <f t="shared" si="29"/>
        <v>95</v>
      </c>
      <c r="I110" s="1405">
        <f t="shared" si="29"/>
        <v>94</v>
      </c>
      <c r="J110" s="1405">
        <f t="shared" si="29"/>
        <v>93</v>
      </c>
      <c r="K110" s="1405">
        <f t="shared" si="29"/>
        <v>92</v>
      </c>
      <c r="L110" s="1405">
        <f t="shared" si="29"/>
        <v>91</v>
      </c>
      <c r="M110" s="1405">
        <f t="shared" si="29"/>
        <v>90</v>
      </c>
      <c r="N110" s="1703"/>
      <c r="O110" s="1703"/>
      <c r="P110" s="2325"/>
      <c r="Q110" s="1696"/>
    </row>
    <row r="111" s="1117" customFormat="1" ht="15.75" spans="1:17">
      <c r="A111" s="1430"/>
      <c r="B111" s="1402" t="s">
        <v>634</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2336"/>
      <c r="Q111" s="1707"/>
    </row>
    <row r="112" s="1117" customFormat="1" ht="15" spans="1:17">
      <c r="A112" s="1430"/>
      <c r="B112" s="1406"/>
      <c r="C112" s="879">
        <v>0.5</v>
      </c>
      <c r="D112" s="879">
        <v>0.6</v>
      </c>
      <c r="E112" s="879">
        <v>0.7</v>
      </c>
      <c r="F112" s="879">
        <v>0.8</v>
      </c>
      <c r="G112" s="879">
        <v>0.9</v>
      </c>
      <c r="H112" s="879">
        <v>1.0001</v>
      </c>
      <c r="I112" s="879"/>
      <c r="J112" s="2342"/>
      <c r="K112" s="2342"/>
      <c r="L112" s="2343"/>
      <c r="M112" s="2344"/>
      <c r="N112" s="1704"/>
      <c r="O112" s="1704"/>
      <c r="P112" s="2336"/>
      <c r="Q112" s="1707"/>
    </row>
    <row r="113" s="1117" customFormat="1" ht="15.75" spans="1:17">
      <c r="A113" s="1409"/>
      <c r="B113" s="1404"/>
      <c r="C113" s="1423">
        <v>100</v>
      </c>
      <c r="D113" s="1405">
        <f>C113+$K37</f>
        <v>101</v>
      </c>
      <c r="E113" s="1405">
        <f>D113+$K37</f>
        <v>102</v>
      </c>
      <c r="F113" s="1405">
        <f>E113+$K37</f>
        <v>103</v>
      </c>
      <c r="G113" s="1405">
        <f>F113+$K37</f>
        <v>104</v>
      </c>
      <c r="H113" s="1405">
        <f>G113+$K37</f>
        <v>105</v>
      </c>
      <c r="I113" s="1423"/>
      <c r="J113" s="1425"/>
      <c r="K113" s="1425"/>
      <c r="L113" s="1425"/>
      <c r="M113" s="1476"/>
      <c r="N113" s="1704"/>
      <c r="O113" s="1704"/>
      <c r="P113" s="2336"/>
      <c r="Q113" s="1707"/>
    </row>
    <row r="114" ht="15.75" spans="1:17">
      <c r="A114" s="1433"/>
      <c r="B114" s="1402" t="s">
        <v>1388</v>
      </c>
      <c r="C114" s="2329" t="s">
        <v>1389</v>
      </c>
      <c r="D114" s="1410"/>
      <c r="E114" s="1427"/>
      <c r="F114" s="1427"/>
      <c r="G114" s="1427"/>
      <c r="H114" s="1427"/>
      <c r="I114" s="1427"/>
      <c r="J114" s="1427"/>
      <c r="K114" s="1478"/>
      <c r="L114" s="1479"/>
      <c r="M114" s="1480"/>
      <c r="N114" s="1701"/>
      <c r="O114" s="1701"/>
      <c r="P114" s="2325"/>
      <c r="Q114" s="1696"/>
    </row>
    <row r="115" ht="15.75" spans="1:17">
      <c r="A115" s="1399"/>
      <c r="B115" s="1404"/>
      <c r="C115" s="1405">
        <v>100</v>
      </c>
      <c r="D115" s="1405">
        <f t="shared" ref="D115:M115" si="30">C115-$K38</f>
        <v>99</v>
      </c>
      <c r="E115" s="1405">
        <f t="shared" si="30"/>
        <v>98</v>
      </c>
      <c r="F115" s="1405">
        <f t="shared" si="30"/>
        <v>97</v>
      </c>
      <c r="G115" s="1405">
        <f t="shared" si="30"/>
        <v>96</v>
      </c>
      <c r="H115" s="1405">
        <f t="shared" si="30"/>
        <v>95</v>
      </c>
      <c r="I115" s="1405">
        <f t="shared" si="30"/>
        <v>94</v>
      </c>
      <c r="J115" s="1405">
        <f t="shared" si="30"/>
        <v>93</v>
      </c>
      <c r="K115" s="1405">
        <f t="shared" si="30"/>
        <v>92</v>
      </c>
      <c r="L115" s="1405">
        <f t="shared" si="30"/>
        <v>91</v>
      </c>
      <c r="M115" s="1405">
        <f t="shared" si="30"/>
        <v>90</v>
      </c>
      <c r="N115" s="1703"/>
      <c r="O115" s="1703"/>
      <c r="P115" s="2325"/>
      <c r="Q115" s="1696"/>
    </row>
    <row r="116" ht="15.75" spans="1:17">
      <c r="A116" s="1433"/>
      <c r="B116" s="1402" t="s">
        <v>1390</v>
      </c>
      <c r="C116" s="2329" t="s">
        <v>236</v>
      </c>
      <c r="D116" s="1410"/>
      <c r="E116" s="1410"/>
      <c r="F116" s="1410"/>
      <c r="G116" s="1410"/>
      <c r="H116" s="1427"/>
      <c r="I116" s="1427"/>
      <c r="J116" s="1427"/>
      <c r="K116" s="1478"/>
      <c r="L116" s="1479"/>
      <c r="M116" s="1480"/>
      <c r="N116" s="1701"/>
      <c r="O116" s="1701"/>
      <c r="P116" s="2325"/>
      <c r="Q116" s="1696"/>
    </row>
    <row r="117" ht="15.75" spans="1:17">
      <c r="A117" s="1399"/>
      <c r="B117" s="1404"/>
      <c r="C117" s="1405">
        <v>100</v>
      </c>
      <c r="D117" s="1405">
        <f>C117-$K39</f>
        <v>99</v>
      </c>
      <c r="E117" s="1405">
        <f>D117-$K39</f>
        <v>98</v>
      </c>
      <c r="F117" s="1405">
        <f>E117-$K39</f>
        <v>97</v>
      </c>
      <c r="G117" s="1405">
        <f>F117-$K39</f>
        <v>96</v>
      </c>
      <c r="H117" s="1405"/>
      <c r="I117" s="1405"/>
      <c r="J117" s="1405"/>
      <c r="K117" s="1405"/>
      <c r="L117" s="1405"/>
      <c r="M117" s="1455"/>
      <c r="N117" s="1703"/>
      <c r="O117" s="1703"/>
      <c r="P117" s="2325"/>
      <c r="Q117" s="1696"/>
    </row>
    <row r="118" ht="15.75" spans="1:17">
      <c r="A118" s="1433"/>
      <c r="B118" s="1402" t="s">
        <v>1391</v>
      </c>
      <c r="C118" s="1427"/>
      <c r="D118" s="1427"/>
      <c r="E118" s="1427"/>
      <c r="F118" s="1427"/>
      <c r="G118" s="1427"/>
      <c r="H118" s="1427"/>
      <c r="I118" s="1427"/>
      <c r="J118" s="1427"/>
      <c r="K118" s="1478"/>
      <c r="L118" s="1479"/>
      <c r="M118" s="1480"/>
      <c r="N118" s="1701"/>
      <c r="O118" s="1701"/>
      <c r="P118" s="2325"/>
      <c r="Q118" s="1696"/>
    </row>
    <row r="119" ht="15.7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2325"/>
      <c r="Q119" s="1696"/>
    </row>
    <row r="120" s="1117" customFormat="1" ht="28.5" spans="1:17">
      <c r="A120" s="1430"/>
      <c r="B120" s="1402" t="s">
        <v>1392</v>
      </c>
      <c r="C120" s="1410"/>
      <c r="D120" s="1410"/>
      <c r="E120" s="1410"/>
      <c r="F120" s="1410"/>
      <c r="G120" s="1410"/>
      <c r="H120" s="1410"/>
      <c r="I120" s="1410"/>
      <c r="J120" s="1410"/>
      <c r="K120" s="1410"/>
      <c r="L120" s="1605"/>
      <c r="M120" s="1606"/>
      <c r="N120" s="1704"/>
      <c r="O120" s="1704"/>
      <c r="P120" s="2336"/>
      <c r="Q120" s="1707"/>
    </row>
    <row r="121" s="1117" customFormat="1" ht="15.75" spans="1:17">
      <c r="A121" s="1409"/>
      <c r="B121" s="1400"/>
      <c r="C121" s="1412"/>
      <c r="D121" s="1401"/>
      <c r="E121" s="1401"/>
      <c r="F121" s="1401"/>
      <c r="G121" s="1401"/>
      <c r="H121" s="1401"/>
      <c r="I121" s="1401"/>
      <c r="J121" s="1401"/>
      <c r="K121" s="1401"/>
      <c r="L121" s="1401"/>
      <c r="M121" s="1401"/>
      <c r="N121" s="1704"/>
      <c r="O121" s="1704"/>
      <c r="P121" s="2336"/>
      <c r="Q121" s="1707"/>
    </row>
    <row r="122" ht="15.75" spans="1:17">
      <c r="A122" s="1433"/>
      <c r="B122" s="1402" t="s">
        <v>1393</v>
      </c>
      <c r="C122" s="2329" t="s">
        <v>1387</v>
      </c>
      <c r="D122" s="2329" t="s">
        <v>1394</v>
      </c>
      <c r="E122" s="2329" t="s">
        <v>1395</v>
      </c>
      <c r="F122" s="2335" t="s">
        <v>1429</v>
      </c>
      <c r="G122" s="1427"/>
      <c r="H122" s="1427"/>
      <c r="I122" s="1427"/>
      <c r="J122" s="1427"/>
      <c r="K122" s="1478"/>
      <c r="L122" s="1479"/>
      <c r="M122" s="1480"/>
      <c r="N122" s="1701"/>
      <c r="O122" s="1701"/>
      <c r="P122" s="2325"/>
      <c r="Q122" s="1696"/>
    </row>
    <row r="123" ht="15.75" spans="1:17">
      <c r="A123" s="1399"/>
      <c r="B123" s="1404"/>
      <c r="C123" s="1405">
        <v>100</v>
      </c>
      <c r="D123" s="1405">
        <f t="shared" ref="D123:M123" si="32">C123-$K42</f>
        <v>97</v>
      </c>
      <c r="E123" s="1405">
        <f t="shared" si="32"/>
        <v>94</v>
      </c>
      <c r="F123" s="1405">
        <f t="shared" si="32"/>
        <v>91</v>
      </c>
      <c r="G123" s="1405">
        <f t="shared" si="32"/>
        <v>88</v>
      </c>
      <c r="H123" s="1405">
        <f t="shared" si="32"/>
        <v>85</v>
      </c>
      <c r="I123" s="1405">
        <f t="shared" si="32"/>
        <v>82</v>
      </c>
      <c r="J123" s="1405">
        <f t="shared" si="32"/>
        <v>79</v>
      </c>
      <c r="K123" s="1405">
        <f t="shared" si="32"/>
        <v>76</v>
      </c>
      <c r="L123" s="1405">
        <f t="shared" si="32"/>
        <v>73</v>
      </c>
      <c r="M123" s="1405">
        <f t="shared" si="32"/>
        <v>70</v>
      </c>
      <c r="N123" s="1703"/>
      <c r="O123" s="1703"/>
      <c r="P123" s="2325"/>
      <c r="Q123" s="1696"/>
    </row>
    <row r="124" ht="15.75" spans="1:17">
      <c r="A124" s="1433"/>
      <c r="B124" s="1402" t="s">
        <v>1396</v>
      </c>
      <c r="C124" s="1421" t="s">
        <v>1410</v>
      </c>
      <c r="D124" s="1421" t="s">
        <v>1411</v>
      </c>
      <c r="E124" s="1421" t="s">
        <v>1412</v>
      </c>
      <c r="F124" s="1421" t="s">
        <v>1413</v>
      </c>
      <c r="G124" s="1421" t="s">
        <v>1414</v>
      </c>
      <c r="H124" s="1403"/>
      <c r="I124" s="1403"/>
      <c r="J124" s="1403"/>
      <c r="K124" s="1452"/>
      <c r="L124" s="1453"/>
      <c r="M124" s="1454"/>
      <c r="N124" s="1701"/>
      <c r="O124" s="1701"/>
      <c r="P124" s="2336"/>
      <c r="Q124" s="1696"/>
    </row>
    <row r="125" ht="15.7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2325"/>
      <c r="Q125" s="1696"/>
    </row>
    <row r="126" s="1117" customFormat="1" ht="15.75" spans="1:17">
      <c r="A126" s="1430"/>
      <c r="B126" s="1402" t="str">
        <f>B44</f>
        <v>是否观河景</v>
      </c>
      <c r="C126" s="2329" t="s">
        <v>556</v>
      </c>
      <c r="D126" s="2329" t="s">
        <v>1398</v>
      </c>
      <c r="E126" s="1410"/>
      <c r="F126" s="1410"/>
      <c r="G126" s="1410"/>
      <c r="H126" s="1411"/>
      <c r="I126" s="1411"/>
      <c r="J126" s="1411"/>
      <c r="K126" s="1411"/>
      <c r="L126" s="1459"/>
      <c r="M126" s="1460"/>
      <c r="N126" s="1704"/>
      <c r="O126" s="1704"/>
      <c r="P126" s="2336"/>
      <c r="Q126" s="1707"/>
    </row>
    <row r="127" s="1117" customFormat="1" ht="15.75" spans="1:17">
      <c r="A127" s="1409"/>
      <c r="B127" s="1404"/>
      <c r="C127" s="1412">
        <v>100</v>
      </c>
      <c r="D127" s="1401">
        <v>95</v>
      </c>
      <c r="E127" s="1401"/>
      <c r="F127" s="1401"/>
      <c r="G127" s="1412"/>
      <c r="H127" s="1413"/>
      <c r="I127" s="1413"/>
      <c r="J127" s="1413"/>
      <c r="K127" s="1413"/>
      <c r="L127" s="1413"/>
      <c r="M127" s="1463"/>
      <c r="N127" s="1704"/>
      <c r="O127" s="1704"/>
      <c r="P127" s="2336"/>
      <c r="Q127" s="1707"/>
    </row>
    <row r="128" ht="15.75" spans="1:17">
      <c r="A128" s="1433"/>
      <c r="B128" s="1402">
        <f>B45</f>
        <v>111</v>
      </c>
      <c r="C128" s="1410"/>
      <c r="D128" s="1410"/>
      <c r="E128" s="1410"/>
      <c r="F128" s="1410"/>
      <c r="G128" s="1427"/>
      <c r="H128" s="1427"/>
      <c r="I128" s="1427"/>
      <c r="J128" s="1427"/>
      <c r="K128" s="1478"/>
      <c r="L128" s="1479"/>
      <c r="M128" s="1480"/>
      <c r="N128" s="1701"/>
      <c r="O128" s="1701"/>
      <c r="P128" s="2325"/>
      <c r="Q128" s="1696"/>
    </row>
    <row r="129" ht="15.75" spans="1:17">
      <c r="A129" s="1399"/>
      <c r="B129" s="1404"/>
      <c r="C129" s="1412"/>
      <c r="D129" s="1412"/>
      <c r="E129" s="1412"/>
      <c r="F129" s="1412"/>
      <c r="G129" s="1401"/>
      <c r="H129" s="1401"/>
      <c r="I129" s="1401"/>
      <c r="J129" s="1401"/>
      <c r="K129" s="1401"/>
      <c r="L129" s="1401"/>
      <c r="M129" s="1450"/>
      <c r="N129" s="1703"/>
      <c r="O129" s="1703"/>
      <c r="P129" s="2325"/>
      <c r="Q129" s="1696"/>
    </row>
    <row r="130" ht="15.75" spans="1:17">
      <c r="A130" s="1433"/>
      <c r="B130" s="1406">
        <f>B46</f>
        <v>111</v>
      </c>
      <c r="C130" s="1410"/>
      <c r="D130" s="1410"/>
      <c r="E130" s="1410"/>
      <c r="F130" s="1410"/>
      <c r="G130" s="1428"/>
      <c r="H130" s="1428"/>
      <c r="I130" s="1428"/>
      <c r="J130" s="1428"/>
      <c r="K130" s="1394"/>
      <c r="L130" s="1440"/>
      <c r="M130" s="1483"/>
      <c r="N130" s="1701"/>
      <c r="O130" s="1701"/>
      <c r="P130" s="2325"/>
      <c r="Q130" s="1696"/>
    </row>
    <row r="131" ht="15.75" spans="1:17">
      <c r="A131" s="1708"/>
      <c r="B131" s="1416"/>
      <c r="C131" s="1417"/>
      <c r="D131" s="1417"/>
      <c r="E131" s="1417"/>
      <c r="F131" s="1417"/>
      <c r="G131" s="1429"/>
      <c r="H131" s="1429"/>
      <c r="I131" s="1429"/>
      <c r="J131" s="1429"/>
      <c r="K131" s="1429"/>
      <c r="L131" s="1429"/>
      <c r="M131" s="1484"/>
      <c r="N131" s="1703"/>
      <c r="O131" s="1703"/>
      <c r="P131" s="2325"/>
      <c r="Q131" s="1696"/>
    </row>
    <row r="136" ht="15" spans="2:2">
      <c r="B136" s="2345" t="s">
        <v>1430</v>
      </c>
    </row>
    <row r="137" ht="15" spans="2:11">
      <c r="B137" s="2346" t="s">
        <v>1431</v>
      </c>
      <c r="C137" s="2347"/>
      <c r="D137" s="2347"/>
      <c r="E137" s="2347"/>
      <c r="F137" s="2347"/>
      <c r="G137" s="2348"/>
      <c r="H137" s="2349"/>
      <c r="I137" s="2372" t="s">
        <v>1432</v>
      </c>
      <c r="J137" s="2347"/>
      <c r="K137" s="2373"/>
    </row>
    <row r="138" ht="15" spans="2:11">
      <c r="B138" s="2350"/>
      <c r="C138" s="2351" t="s">
        <v>1433</v>
      </c>
      <c r="D138" s="2351" t="s">
        <v>1434</v>
      </c>
      <c r="E138" s="2352" t="s">
        <v>1435</v>
      </c>
      <c r="F138" s="2353" t="s">
        <v>1436</v>
      </c>
      <c r="G138" s="2351" t="s">
        <v>1434</v>
      </c>
      <c r="H138" s="2354" t="s">
        <v>1435</v>
      </c>
      <c r="I138" s="2374"/>
      <c r="J138" s="2351" t="s">
        <v>1437</v>
      </c>
      <c r="K138" s="2354" t="s">
        <v>1438</v>
      </c>
    </row>
    <row r="139" ht="15" spans="2:11">
      <c r="B139" s="2355">
        <v>6</v>
      </c>
      <c r="C139" s="2356">
        <v>96</v>
      </c>
      <c r="D139" s="2357" t="s">
        <v>1439</v>
      </c>
      <c r="E139" s="2358">
        <v>100</v>
      </c>
      <c r="F139" s="2359">
        <v>102.5</v>
      </c>
      <c r="G139" s="2357" t="s">
        <v>1439</v>
      </c>
      <c r="H139" s="2360">
        <v>105</v>
      </c>
      <c r="I139" s="2375" t="s">
        <v>1440</v>
      </c>
      <c r="J139" s="2356">
        <v>20</v>
      </c>
      <c r="K139" s="2376">
        <f>C145/(J139-2)</f>
        <v>0.00405555555555556</v>
      </c>
    </row>
    <row r="140" ht="15" spans="2:11">
      <c r="B140" s="2361">
        <v>5</v>
      </c>
      <c r="C140" s="2362">
        <v>100</v>
      </c>
      <c r="D140" s="2362"/>
      <c r="E140" s="2363"/>
      <c r="F140" s="2364">
        <v>102</v>
      </c>
      <c r="G140" s="2362"/>
      <c r="H140" s="2365"/>
      <c r="I140" s="2377" t="s">
        <v>1441</v>
      </c>
      <c r="J140" s="474">
        <f>ROUNDUP((J139-1)/2,0)</f>
        <v>10</v>
      </c>
      <c r="K140" s="2378">
        <v>100</v>
      </c>
    </row>
    <row r="141" ht="15" spans="2:11">
      <c r="B141" s="2361">
        <v>4</v>
      </c>
      <c r="C141" s="2362">
        <v>102</v>
      </c>
      <c r="D141" s="2362"/>
      <c r="E141" s="2363"/>
      <c r="F141" s="2364">
        <v>101.5</v>
      </c>
      <c r="G141" s="2362"/>
      <c r="H141" s="2365"/>
      <c r="I141" s="2377" t="s">
        <v>1442</v>
      </c>
      <c r="J141" s="474">
        <v>1</v>
      </c>
      <c r="K141" s="2379">
        <f>ROUND(100+(J141-J140)*K139*100,1)</f>
        <v>96.4</v>
      </c>
    </row>
    <row r="142" ht="15" spans="2:11">
      <c r="B142" s="2361">
        <v>3</v>
      </c>
      <c r="C142" s="2362">
        <v>103</v>
      </c>
      <c r="D142" s="2362"/>
      <c r="E142" s="2363"/>
      <c r="F142" s="2364">
        <v>101</v>
      </c>
      <c r="G142" s="2362"/>
      <c r="H142" s="2365"/>
      <c r="I142" s="2377" t="s">
        <v>1443</v>
      </c>
      <c r="J142" s="474">
        <f>J139</f>
        <v>20</v>
      </c>
      <c r="K142" s="2380">
        <v>95</v>
      </c>
    </row>
    <row r="143" ht="15" spans="2:11">
      <c r="B143" s="2361">
        <v>2</v>
      </c>
      <c r="C143" s="2362">
        <v>100</v>
      </c>
      <c r="D143" s="2362"/>
      <c r="E143" s="2363"/>
      <c r="F143" s="2364">
        <v>100.5</v>
      </c>
      <c r="G143" s="2362"/>
      <c r="H143" s="2365"/>
      <c r="I143" s="2377" t="s">
        <v>1444</v>
      </c>
      <c r="J143" s="2362">
        <v>15</v>
      </c>
      <c r="K143" s="2379">
        <f>ROUND(100+(J143-J140)*K139*100,1)</f>
        <v>102</v>
      </c>
    </row>
    <row r="144" ht="15" spans="2:11">
      <c r="B144" s="2361">
        <v>1</v>
      </c>
      <c r="C144" s="2362">
        <v>98</v>
      </c>
      <c r="D144" s="2366" t="s">
        <v>1445</v>
      </c>
      <c r="E144" s="2363">
        <v>102</v>
      </c>
      <c r="F144" s="2367">
        <v>100</v>
      </c>
      <c r="G144" s="2366" t="s">
        <v>1445</v>
      </c>
      <c r="H144" s="2365">
        <v>105</v>
      </c>
      <c r="I144" s="2377" t="s">
        <v>1444</v>
      </c>
      <c r="J144" s="2362">
        <v>18</v>
      </c>
      <c r="K144" s="2379">
        <f>ROUND(100+(J144-J140)*K139*100,1)</f>
        <v>103.2</v>
      </c>
    </row>
    <row r="145" ht="15.75" spans="2:11">
      <c r="B145" s="2368" t="s">
        <v>1446</v>
      </c>
      <c r="C145" s="2369">
        <f>ROUND(MAX(C139:C144)/MIN(C139:C144)-1,3)</f>
        <v>0.073</v>
      </c>
      <c r="D145" s="2370"/>
      <c r="E145" s="2370"/>
      <c r="F145" s="2371" t="s">
        <v>1447</v>
      </c>
      <c r="G145" s="1742"/>
      <c r="H145" s="1747"/>
      <c r="I145" s="2381" t="s">
        <v>1444</v>
      </c>
      <c r="J145" s="2382">
        <v>8</v>
      </c>
      <c r="K145" s="2383">
        <f>ROUND(100+(J145-J140)*K139*100,1)</f>
        <v>99.2</v>
      </c>
    </row>
    <row r="147" spans="2:2">
      <c r="B147" s="2345" t="s">
        <v>1448</v>
      </c>
    </row>
    <row r="148" spans="2:2">
      <c r="B148" s="2345" t="s">
        <v>1449</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48">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56:K158"/>
  <sheetViews>
    <sheetView topLeftCell="Q39" workbookViewId="0">
      <selection activeCell="E150" sqref="E150:L159"/>
    </sheetView>
  </sheetViews>
  <sheetFormatPr defaultColWidth="9" defaultRowHeight="13.5"/>
  <cols>
    <col min="7" max="7" width="14.7333333333333" customWidth="1"/>
    <col min="8" max="8" width="12.875" customWidth="1"/>
  </cols>
  <sheetData>
    <row r="156" s="2279" customFormat="1" spans="6:11">
      <c r="F156" s="2280" t="s">
        <v>1450</v>
      </c>
      <c r="G156" s="2280" t="s">
        <v>1451</v>
      </c>
      <c r="H156" s="2280" t="s">
        <v>1452</v>
      </c>
      <c r="I156" s="2280" t="s">
        <v>1453</v>
      </c>
      <c r="J156" s="2280" t="s">
        <v>1454</v>
      </c>
      <c r="K156" s="2280" t="s">
        <v>404</v>
      </c>
    </row>
    <row r="157" s="2279" customFormat="1" ht="67.5" spans="6:11">
      <c r="F157" s="2280">
        <v>1</v>
      </c>
      <c r="G157" s="2280" t="s">
        <v>1455</v>
      </c>
      <c r="H157" s="2280" t="s">
        <v>1456</v>
      </c>
      <c r="I157" s="2280" t="s">
        <v>1457</v>
      </c>
      <c r="J157" s="2280">
        <v>211.57</v>
      </c>
      <c r="K157" s="2280" t="s">
        <v>412</v>
      </c>
    </row>
    <row r="158" s="2279" customFormat="1" ht="39.75" spans="6:11">
      <c r="F158" s="2280">
        <v>2</v>
      </c>
      <c r="G158" s="2281" t="s">
        <v>1458</v>
      </c>
      <c r="H158" s="2281" t="s">
        <v>1459</v>
      </c>
      <c r="I158" s="2280"/>
      <c r="J158" s="2280"/>
      <c r="K158" s="2280"/>
    </row>
  </sheetData>
  <mergeCells count="3">
    <mergeCell ref="I157:I158"/>
    <mergeCell ref="J157:J158"/>
    <mergeCell ref="K157:K158"/>
  </mergeCells>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B10" workbookViewId="0">
      <selection activeCell="D50" sqref="D50"/>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0.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t="s">
        <v>412</v>
      </c>
      <c r="D1" s="1997" t="s">
        <v>124</v>
      </c>
      <c r="E1" s="1998" t="s">
        <v>1140</v>
      </c>
      <c r="F1" s="1999">
        <f ca="1">J53</f>
        <v>46.64</v>
      </c>
      <c r="G1" s="2000">
        <f>MATCH(C1,'数据-取费表'!A6:A16,0)+5</f>
        <v>6</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002">
        <f ca="1">ROUND(D2/10000,4)</f>
        <v>1242.8229</v>
      </c>
      <c r="C2" s="2003" t="s">
        <v>1142</v>
      </c>
      <c r="D2" s="2004">
        <f ca="1">C40+J29+L46</f>
        <v>12428229</v>
      </c>
      <c r="E2" s="2005" t="s">
        <v>1460</v>
      </c>
      <c r="F2" s="2006"/>
      <c r="G2" s="2007"/>
      <c r="H2" s="2008"/>
      <c r="I2" s="2008"/>
      <c r="J2" s="2008"/>
      <c r="K2" s="2170"/>
      <c r="L2" s="2008"/>
      <c r="M2" s="2008"/>
    </row>
    <row r="3" ht="18" customHeight="1" spans="1:13">
      <c r="A3" s="2009" t="s">
        <v>1143</v>
      </c>
      <c r="B3" s="2010">
        <f ca="1">IF(ISERROR(D2/F43),0,ROUND(D2/F43,0))</f>
        <v>58743</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347747</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ROUND(F6*F8*F7*(1-F9),0)</f>
        <v>347313</v>
      </c>
      <c r="D6" s="2025" t="s">
        <v>1461</v>
      </c>
      <c r="E6" s="2026" t="s">
        <v>1155</v>
      </c>
      <c r="F6" s="2027">
        <f ca="1">INDIRECT("'数据-取费表'!u"&amp;$G$1)</f>
        <v>144</v>
      </c>
      <c r="G6" s="799"/>
      <c r="H6" s="2022" t="s">
        <v>894</v>
      </c>
      <c r="I6" s="2023" t="s">
        <v>1153</v>
      </c>
      <c r="J6" s="2100">
        <f ca="1">ROUND(M6*M8*M7*(1-M9),0)</f>
        <v>0</v>
      </c>
      <c r="K6" s="2173" t="s">
        <v>1462</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211.57</v>
      </c>
      <c r="G7" s="799"/>
      <c r="H7" s="2033"/>
      <c r="I7" s="2029"/>
      <c r="J7" s="2034"/>
      <c r="K7" s="2031"/>
      <c r="L7" s="2026" t="s">
        <v>1157</v>
      </c>
      <c r="M7" s="2027">
        <f ca="1">F7</f>
        <v>211.57</v>
      </c>
    </row>
    <row r="8" ht="18" customHeight="1" spans="1:13">
      <c r="A8" s="2033"/>
      <c r="B8" s="2029"/>
      <c r="C8" s="2034"/>
      <c r="D8" s="2031"/>
      <c r="E8" s="2026" t="s">
        <v>1158</v>
      </c>
      <c r="F8" s="2027">
        <f ca="1">INDIRECT("'数据-取费表'!ai"&amp;$G$1)</f>
        <v>12</v>
      </c>
      <c r="G8" s="799"/>
      <c r="H8" s="2033"/>
      <c r="I8" s="2029"/>
      <c r="J8" s="2034"/>
      <c r="K8" s="2031"/>
      <c r="L8" s="2026" t="s">
        <v>1158</v>
      </c>
      <c r="M8" s="2027">
        <f ca="1">INDIRECT("'数据-取费表'!ai"&amp;$G$1)</f>
        <v>12</v>
      </c>
    </row>
    <row r="9" ht="18" customHeight="1" spans="1:13">
      <c r="A9" s="2033"/>
      <c r="B9" s="2035"/>
      <c r="C9" s="2034"/>
      <c r="D9" s="2031"/>
      <c r="E9" s="2026" t="s">
        <v>1159</v>
      </c>
      <c r="F9" s="2036">
        <f ca="1">INDIRECT("'数据-取费表'!w"&amp;$G$1)</f>
        <v>0.05</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434</v>
      </c>
      <c r="D10" s="2038" t="s">
        <v>1161</v>
      </c>
      <c r="E10" s="2039" t="s">
        <v>1162</v>
      </c>
      <c r="F10" s="2040" t="s">
        <v>1463</v>
      </c>
      <c r="G10" s="799"/>
      <c r="H10" s="2022" t="s">
        <v>898</v>
      </c>
      <c r="I10" s="2037" t="s">
        <v>1160</v>
      </c>
      <c r="J10" s="2100">
        <f ca="1">ROUND(IF(M10="押一",J6/12*M11,IF(M10="押二",J6/12*2*M11,IF(M10="押三",J6/12*3*M11,J11*M11))),0)</f>
        <v>0</v>
      </c>
      <c r="K10" s="2174" t="s">
        <v>1464</v>
      </c>
      <c r="L10" s="2039" t="s">
        <v>1162</v>
      </c>
      <c r="M10" s="2040"/>
    </row>
    <row r="11" ht="18" customHeight="1" spans="1:13">
      <c r="A11" s="2041"/>
      <c r="B11" s="2042" t="s">
        <v>1465</v>
      </c>
      <c r="C11" s="2043"/>
      <c r="D11" s="2031"/>
      <c r="E11" s="2039" t="s">
        <v>1164</v>
      </c>
      <c r="F11" s="2044">
        <f ca="1">'数据-取费表'!B39</f>
        <v>0.015</v>
      </c>
      <c r="G11" s="799"/>
      <c r="H11" s="2045"/>
      <c r="I11" s="2042" t="s">
        <v>1466</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1112209</v>
      </c>
      <c r="D13" s="2055" t="s">
        <v>1167</v>
      </c>
      <c r="E13" s="2055" t="s">
        <v>1168</v>
      </c>
      <c r="F13" s="2056">
        <f ca="1">INDIRECT("'数据-取费表'!y"&amp;$G$1)</f>
        <v>0.72</v>
      </c>
      <c r="G13" s="799"/>
      <c r="H13" s="2052">
        <v>2</v>
      </c>
      <c r="I13" s="2053" t="s">
        <v>1166</v>
      </c>
      <c r="J13" s="2179">
        <f ca="1">ROUND(J14*J15,0)</f>
        <v>0</v>
      </c>
      <c r="K13" s="2078" t="s">
        <v>1167</v>
      </c>
      <c r="L13" s="2180"/>
      <c r="M13" s="2181"/>
    </row>
    <row r="14" ht="18" customHeight="1" spans="1:13">
      <c r="A14" s="2057" t="s">
        <v>917</v>
      </c>
      <c r="B14" s="2026" t="s">
        <v>1169</v>
      </c>
      <c r="C14" s="2058">
        <f ca="1">ROUND(INDIRECT("'数据-取费表'!l"&amp;$G$1)*F43+'数据-取费表'!L14*INDIRECT("'数据-取费表'!S"&amp;$G$1),0)</f>
        <v>952065</v>
      </c>
      <c r="D14" s="2059" t="s">
        <v>1170</v>
      </c>
      <c r="E14" s="2060"/>
      <c r="F14" s="2061"/>
      <c r="G14" s="799"/>
      <c r="H14" s="2057" t="s">
        <v>894</v>
      </c>
      <c r="I14" s="2026" t="s">
        <v>1171</v>
      </c>
      <c r="J14" s="1048">
        <f ca="1">C29</f>
        <v>1544735</v>
      </c>
      <c r="K14" s="2182"/>
      <c r="L14" s="2183"/>
      <c r="M14" s="2184"/>
    </row>
    <row r="15" s="1993" customFormat="1" ht="18" customHeight="1" spans="1:37">
      <c r="A15" s="2057" t="s">
        <v>921</v>
      </c>
      <c r="B15" s="2026" t="s">
        <v>1100</v>
      </c>
      <c r="C15" s="1048">
        <f ca="1">ROUND(C14*F15,0)</f>
        <v>28562</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ROUND(INDIRECT("'数据-取费表'!l"&amp;$G$1)*F43*F16,0)</f>
        <v>47603</v>
      </c>
      <c r="D16" s="2026" t="s">
        <v>1172</v>
      </c>
      <c r="E16" s="2026" t="s">
        <v>1173</v>
      </c>
      <c r="F16" s="2066">
        <f ca="1">IF(INDIRECT("'数据-取费表'!c"&amp;$G$1)="住宅",'数据-取费表'!B34,0)</f>
        <v>0.05</v>
      </c>
      <c r="G16" s="799"/>
      <c r="H16" s="2052" t="s">
        <v>1174</v>
      </c>
      <c r="I16" s="2053" t="s">
        <v>1175</v>
      </c>
      <c r="J16" s="2054">
        <f ca="1">ROUND(J17+J22+J23+J24,0)</f>
        <v>15447</v>
      </c>
      <c r="K16" s="2078" t="s">
        <v>1176</v>
      </c>
      <c r="L16" s="2079"/>
      <c r="M16" s="2021"/>
    </row>
    <row r="17" s="1993" customFormat="1" ht="18" customHeight="1" spans="1:37">
      <c r="A17" s="2057" t="s">
        <v>1177</v>
      </c>
      <c r="B17" s="2026" t="s">
        <v>1178</v>
      </c>
      <c r="C17" s="1048">
        <f ca="1">ROUND(F17*(F43+INDIRECT("'数据-取费表'!S"&amp;$G$1)),0)</f>
        <v>63471</v>
      </c>
      <c r="D17" s="2026" t="s">
        <v>1179</v>
      </c>
      <c r="E17" s="2026" t="s">
        <v>1180</v>
      </c>
      <c r="F17" s="2067">
        <f>'数据-取费表'!B35</f>
        <v>300</v>
      </c>
      <c r="G17" s="2064"/>
      <c r="H17" s="2057" t="s">
        <v>894</v>
      </c>
      <c r="I17" s="2026" t="s">
        <v>1181</v>
      </c>
      <c r="J17" s="2081">
        <f ca="1">ROUND(IF(AND(项目基本情况!B11="自然人",项目基本情况!B10="北京市"),J6*M17/(1+'数据-取费表'!C42),J18+J19+J20),0)</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14281</v>
      </c>
      <c r="D18" s="2026" t="s">
        <v>1172</v>
      </c>
      <c r="E18" s="2026" t="s">
        <v>1173</v>
      </c>
      <c r="F18" s="2066">
        <f>'数据-取费表'!B36</f>
        <v>0.015</v>
      </c>
      <c r="G18" s="2064"/>
      <c r="H18" s="2057" t="s">
        <v>917</v>
      </c>
      <c r="I18" s="2026" t="s">
        <v>1185</v>
      </c>
      <c r="J18" s="1048">
        <f ca="1">ROUND(J6*M18/(1+'数据-取费表'!C42),0)</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1105982</v>
      </c>
      <c r="D19" s="2068" t="s">
        <v>1188</v>
      </c>
      <c r="E19" s="1050"/>
      <c r="F19" s="2067"/>
      <c r="G19" s="799"/>
      <c r="H19" s="2057" t="s">
        <v>921</v>
      </c>
      <c r="I19" s="2026" t="s">
        <v>1189</v>
      </c>
      <c r="J19" s="1048">
        <f ca="1">IF(K19="按租金收入计税",ROUND(J6*M19/(1+'数据-取费表'!C42),0),ROUND(C29*M19*0.7,0))</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27650</v>
      </c>
      <c r="D20" s="2069" t="s">
        <v>1192</v>
      </c>
      <c r="E20" s="2026" t="s">
        <v>1173</v>
      </c>
      <c r="F20" s="2066">
        <f>'数据-取费表'!B37</f>
        <v>0.025</v>
      </c>
      <c r="G20" s="2064"/>
      <c r="H20" s="2057" t="s">
        <v>924</v>
      </c>
      <c r="I20" s="2025" t="s">
        <v>1193</v>
      </c>
      <c r="J20" s="2087">
        <f ca="1">ROUND(M20*M21,0)</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ROUND(J14*M22,0)</f>
        <v>15447</v>
      </c>
      <c r="K22" s="2082" t="s">
        <v>1202</v>
      </c>
      <c r="L22" s="2026" t="s">
        <v>1173</v>
      </c>
      <c r="M22" s="2094">
        <f ca="1">INDIRECT("'数据-取费表'!Ak"&amp;$G$1)</f>
        <v>0.01</v>
      </c>
    </row>
    <row r="23" s="1993" customFormat="1" ht="18" customHeight="1" spans="1:37">
      <c r="A23" s="2057" t="s">
        <v>917</v>
      </c>
      <c r="B23" s="2026" t="s">
        <v>1203</v>
      </c>
      <c r="C23" s="1048">
        <f ca="1">IF('数据-取费表'!B22&lt;=1,ROUND(C19*F24*F23/2,0)+ROUND(C20*F24*F23/2,0),ROUND(C19*(POWER((1+F24),F23/2)-1),0)+ROUND(C20*(POWER((1+F24),F23/2)-1),0))</f>
        <v>53847</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ROUND(J13*M23,0)</f>
        <v>0</v>
      </c>
      <c r="K23" s="2082" t="s">
        <v>1206</v>
      </c>
      <c r="L23" s="2026" t="s">
        <v>1173</v>
      </c>
      <c r="M23" s="2095">
        <f ca="1">INDIRECT("'数据-取费表'!Al"&amp;$G$1)</f>
        <v>0.001</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ROUND(J5*M24,0)</f>
        <v>0</v>
      </c>
      <c r="K24" s="2075" t="s">
        <v>1209</v>
      </c>
      <c r="L24" s="2050" t="s">
        <v>1173</v>
      </c>
      <c r="M24" s="2051">
        <f ca="1">INDIRECT("'数据-取费表'!Am"&amp;$G$1)</f>
        <v>0.01</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18" customHeight="1" spans="1:13">
      <c r="A25" s="2057" t="s">
        <v>950</v>
      </c>
      <c r="B25" s="2026" t="s">
        <v>1210</v>
      </c>
      <c r="C25" s="1048"/>
      <c r="D25" s="2068" t="s">
        <v>1211</v>
      </c>
      <c r="E25" s="1050"/>
      <c r="F25" s="2067"/>
      <c r="G25" s="799"/>
      <c r="H25" s="2052" t="s">
        <v>1212</v>
      </c>
      <c r="I25" s="2096" t="s">
        <v>1213</v>
      </c>
      <c r="J25" s="2054">
        <f ca="1">J5-J16</f>
        <v>-15447</v>
      </c>
      <c r="K25" s="2097" t="s">
        <v>1214</v>
      </c>
      <c r="L25" s="2098"/>
      <c r="M25" s="2099"/>
    </row>
    <row r="26" ht="18" customHeight="1" spans="1:13">
      <c r="A26" s="2057" t="s">
        <v>917</v>
      </c>
      <c r="B26" s="2026" t="s">
        <v>1215</v>
      </c>
      <c r="C26" s="1048">
        <f ca="1">ROUND((C19+C20)*F26,0)</f>
        <v>226726</v>
      </c>
      <c r="D26" s="2069" t="s">
        <v>1216</v>
      </c>
      <c r="E26" s="2039" t="s">
        <v>1217</v>
      </c>
      <c r="F26" s="2036">
        <f ca="1">INDIRECT("'数据-取费表'!q"&amp;$G$1)</f>
        <v>0.2</v>
      </c>
      <c r="G26" s="799"/>
      <c r="H26" s="2016" t="s">
        <v>1218</v>
      </c>
      <c r="I26" s="2017" t="s">
        <v>1219</v>
      </c>
      <c r="J26" s="2100">
        <f ca="1">IF(J5&lt;&gt;0,ROUND(J25*(1-((1+M28)/(1+M26))^M27)/(M26-M28),0),0)</f>
        <v>0</v>
      </c>
      <c r="K26" s="2088" t="s">
        <v>1220</v>
      </c>
      <c r="L26" s="2026" t="s">
        <v>1221</v>
      </c>
      <c r="M26" s="2036">
        <f ca="1">INDIRECT("'数据-取费表'!I"&amp;$G$1)</f>
        <v>0.04</v>
      </c>
    </row>
    <row r="27" ht="18" customHeight="1" spans="1:13">
      <c r="A27" s="2057" t="s">
        <v>921</v>
      </c>
      <c r="B27" s="2026" t="s">
        <v>1222</v>
      </c>
      <c r="C27" s="1048">
        <f ca="1">ROUND(F21*F26,4)</f>
        <v>0.005</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1544735</v>
      </c>
      <c r="D29" s="2075"/>
      <c r="E29" s="2050"/>
      <c r="F29" s="2076"/>
      <c r="G29" s="2064"/>
      <c r="H29" s="2077" t="s">
        <v>1230</v>
      </c>
      <c r="I29" s="2107" t="s">
        <v>1231</v>
      </c>
      <c r="J29" s="2108">
        <f ca="1">ROUND(J26/(1+F40)^F41,0)</f>
        <v>0</v>
      </c>
      <c r="K29" s="2109" t="s">
        <v>1232</v>
      </c>
      <c r="L29" s="2110"/>
      <c r="M29" s="2111">
        <f ca="1">INDIRECT("'数据-取费表'!k"&amp;$G$1)</f>
        <v>211.57</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28305</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ROUND(IF(AND(项目基本情况!B11="自然人",项目基本情况!B10="北京市"),C6*F31/(1+'数据-取费表'!C42),C32+C33+C34),0)</f>
        <v>8269</v>
      </c>
      <c r="D31" s="2059" t="s">
        <v>1182</v>
      </c>
      <c r="E31" s="2082" t="s">
        <v>1183</v>
      </c>
      <c r="F31" s="2083">
        <f ca="1">IF(项目基本情况!B11="企业","——",IF(M47="住宅",IF(F6*F7*F8/12/(1+'数据-取费表'!F30)&gt;100000,4%,2.5%),IF(F6*F7*F8/12/(1+'数据-取费表'!F30)&gt;100000,12%,7%)))</f>
        <v>0.025</v>
      </c>
      <c r="G31" s="799"/>
      <c r="H31" s="2084" t="s">
        <v>1233</v>
      </c>
      <c r="I31" s="2189"/>
      <c r="J31" s="2190"/>
      <c r="K31" s="2191"/>
      <c r="L31" s="2192"/>
      <c r="M31" s="2193"/>
    </row>
    <row r="32" ht="18" customHeight="1" spans="1:13">
      <c r="A32" s="2057" t="s">
        <v>917</v>
      </c>
      <c r="B32" s="2026" t="s">
        <v>1185</v>
      </c>
      <c r="C32" s="1048" t="str">
        <f ca="1">IF(项目基本情况!B11="自然人","——",ROUND(C6*F32/(1+'数据-取费表'!C42),0))</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IF(项目基本情况!B11="自然人","——",IF(D33="按租金收入计税",ROUND(C6*F33/(1+'数据-取费表'!C42),0),IF(D33="按房产原值计税",ROUND(C29*F33*0.7,0),INDIRECT("'数据-取费表'!Aj"&amp;$G$1))))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IF(项目基本情况!B11="自然人","——",ROUND(F34*F35,0))</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ROUND(C29*F36,0)</f>
        <v>15447</v>
      </c>
      <c r="D36" s="2082" t="s">
        <v>1234</v>
      </c>
      <c r="E36" s="2026" t="s">
        <v>1173</v>
      </c>
      <c r="F36" s="2094">
        <f ca="1">INDIRECT("'数据-取费表'!Ak"&amp;$G$1)</f>
        <v>0.01</v>
      </c>
      <c r="G36" s="799"/>
      <c r="H36" s="2086"/>
      <c r="I36" s="2189"/>
      <c r="J36" s="2190"/>
      <c r="K36" s="2197"/>
      <c r="L36" s="2086"/>
      <c r="M36" s="2086"/>
    </row>
    <row r="37" ht="18" customHeight="1" spans="1:13">
      <c r="A37" s="2057" t="s">
        <v>943</v>
      </c>
      <c r="B37" s="2026" t="s">
        <v>1205</v>
      </c>
      <c r="C37" s="1048">
        <f ca="1">ROUND(C13*F37,0)</f>
        <v>1112</v>
      </c>
      <c r="D37" s="2082" t="s">
        <v>1206</v>
      </c>
      <c r="E37" s="2026" t="s">
        <v>1173</v>
      </c>
      <c r="F37" s="2095">
        <f ca="1">INDIRECT("'数据-取费表'!Al"&amp;$G$1)</f>
        <v>0.001</v>
      </c>
      <c r="G37" s="799"/>
      <c r="H37" s="2086"/>
      <c r="I37" s="2189"/>
      <c r="J37" s="2190"/>
      <c r="K37" s="2197"/>
      <c r="L37" s="2086"/>
      <c r="M37" s="2086"/>
    </row>
    <row r="38" ht="18" customHeight="1" spans="1:13">
      <c r="A38" s="2065" t="s">
        <v>946</v>
      </c>
      <c r="B38" s="2050" t="s">
        <v>1191</v>
      </c>
      <c r="C38" s="2074">
        <f ca="1">ROUND(C5*F38,0)</f>
        <v>3477</v>
      </c>
      <c r="D38" s="2075" t="s">
        <v>1209</v>
      </c>
      <c r="E38" s="2050" t="s">
        <v>1173</v>
      </c>
      <c r="F38" s="2051">
        <f ca="1">INDIRECT("'数据-取费表'!Am"&amp;$G$1)</f>
        <v>0.01</v>
      </c>
      <c r="G38" s="799"/>
      <c r="H38" s="2086"/>
      <c r="I38" s="2189"/>
      <c r="J38" s="2190"/>
      <c r="K38" s="2198"/>
      <c r="L38" s="2086"/>
      <c r="M38" s="2086"/>
    </row>
    <row r="39" ht="24.6" customHeight="1" spans="1:13">
      <c r="A39" s="2052" t="s">
        <v>1212</v>
      </c>
      <c r="B39" s="2096" t="s">
        <v>1213</v>
      </c>
      <c r="C39" s="2054">
        <f ca="1">C5-C30</f>
        <v>319442</v>
      </c>
      <c r="D39" s="2097" t="s">
        <v>1214</v>
      </c>
      <c r="E39" s="2098"/>
      <c r="F39" s="2099"/>
      <c r="G39" s="799"/>
      <c r="H39" s="2086"/>
      <c r="I39" s="2189"/>
      <c r="J39" s="2190"/>
      <c r="K39" s="2198"/>
      <c r="L39" s="2086"/>
      <c r="M39" s="2086"/>
    </row>
    <row r="40" ht="18" customHeight="1" spans="1:13">
      <c r="A40" s="2016" t="s">
        <v>1218</v>
      </c>
      <c r="B40" s="2017" t="s">
        <v>1235</v>
      </c>
      <c r="C40" s="2100">
        <f ca="1">ROUND(C39*(1-((1+F42)/(1+F40))^F41)/(F40-F42),0)</f>
        <v>12428229</v>
      </c>
      <c r="D40" s="2088" t="s">
        <v>1220</v>
      </c>
      <c r="E40" s="2026" t="s">
        <v>1221</v>
      </c>
      <c r="F40" s="2036">
        <f ca="1">INDIRECT("'数据-取费表'!I"&amp;$G$1)</f>
        <v>0.04</v>
      </c>
      <c r="G40" s="799"/>
      <c r="H40" s="2101"/>
      <c r="I40" s="2189"/>
      <c r="J40" s="2190"/>
      <c r="K40" s="2198"/>
      <c r="L40" s="2101"/>
      <c r="M40" s="2101"/>
    </row>
    <row r="41" ht="18" customHeight="1" spans="1:13">
      <c r="A41" s="2033"/>
      <c r="B41" s="2102"/>
      <c r="C41" s="2034"/>
      <c r="D41" s="2103" t="s">
        <v>1224</v>
      </c>
      <c r="E41" s="2026" t="s">
        <v>1225</v>
      </c>
      <c r="F41" s="2104">
        <f>'数据-取费表'!O23</f>
        <v>51</v>
      </c>
      <c r="G41" s="799"/>
      <c r="H41" s="2105"/>
      <c r="I41" s="2189"/>
      <c r="J41" s="2190"/>
      <c r="K41" s="2197"/>
      <c r="L41" s="2105"/>
      <c r="M41" s="2105"/>
    </row>
    <row r="42" ht="18" customHeight="1" spans="1:13">
      <c r="A42" s="2041"/>
      <c r="B42" s="2106"/>
      <c r="C42" s="2054"/>
      <c r="D42" s="2092"/>
      <c r="E42" s="2026" t="s">
        <v>1228</v>
      </c>
      <c r="F42" s="2036">
        <f ca="1">INDIRECT("'数据-取费表'!v"&amp;$G$1)</f>
        <v>0.03</v>
      </c>
      <c r="G42" s="799"/>
      <c r="H42" s="2105"/>
      <c r="I42" s="2189"/>
      <c r="J42" s="2190"/>
      <c r="K42" s="2197"/>
      <c r="L42" s="2105"/>
      <c r="M42" s="2105"/>
    </row>
    <row r="43" ht="18" customHeight="1" spans="1:13">
      <c r="A43" s="2077" t="s">
        <v>1230</v>
      </c>
      <c r="B43" s="2107" t="s">
        <v>1236</v>
      </c>
      <c r="C43" s="2108">
        <f ca="1">ROUND(C40/F43,0)</f>
        <v>58743</v>
      </c>
      <c r="D43" s="2109" t="s">
        <v>1237</v>
      </c>
      <c r="E43" s="2110" t="s">
        <v>1238</v>
      </c>
      <c r="F43" s="2111">
        <f ca="1">INDIRECT("'数据-取费表'!k"&amp;$G$1)</f>
        <v>211.57</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4" t="s">
        <v>1467</v>
      </c>
      <c r="B45" s="2112"/>
      <c r="C45" s="2115">
        <f ca="1">ROUND((C68-C40)/10000,4)</f>
        <v>-1278.6193</v>
      </c>
      <c r="D45" s="2116" t="s">
        <v>1468</v>
      </c>
      <c r="E45" s="2112"/>
      <c r="F45" s="2112"/>
      <c r="O45" s="2200" t="s">
        <v>1239</v>
      </c>
      <c r="P45" s="2101"/>
      <c r="Q45" s="2101"/>
      <c r="R45" s="2101"/>
    </row>
    <row r="46" s="799" customFormat="1" ht="13.5" spans="1:18">
      <c r="A46" s="2117" t="s">
        <v>1240</v>
      </c>
      <c r="C46" s="2118">
        <f ca="1">ROUND(C45,0)</f>
        <v>-1279</v>
      </c>
      <c r="D46" s="2119" t="str">
        <f>C2</f>
        <v>万元</v>
      </c>
      <c r="I46" s="2201" t="s">
        <v>1241</v>
      </c>
      <c r="J46" s="2202"/>
      <c r="K46" s="2203"/>
      <c r="L46" s="2204">
        <f ca="1">IF(M47="住宅",0,IF(L48&gt;J51,L60,J60))</f>
        <v>0</v>
      </c>
      <c r="O46" s="2205" t="s">
        <v>1242</v>
      </c>
      <c r="P46" s="2206" t="s">
        <v>1243</v>
      </c>
      <c r="Q46" s="2253" t="s">
        <v>1244</v>
      </c>
      <c r="R46" s="2253" t="s">
        <v>1245</v>
      </c>
    </row>
    <row r="47" s="799" customFormat="1" ht="13.5" spans="1:18">
      <c r="A47" s="2120" t="s">
        <v>1146</v>
      </c>
      <c r="B47" s="2121" t="s">
        <v>1147</v>
      </c>
      <c r="C47" s="2121" t="s">
        <v>1148</v>
      </c>
      <c r="D47" s="2121" t="s">
        <v>1149</v>
      </c>
      <c r="E47" s="2122" t="s">
        <v>1150</v>
      </c>
      <c r="F47" s="1041"/>
      <c r="G47" s="2123"/>
      <c r="I47" s="2207" t="s">
        <v>1246</v>
      </c>
      <c r="J47" s="2208" t="s">
        <v>1384</v>
      </c>
      <c r="K47" s="2209" t="s">
        <v>1247</v>
      </c>
      <c r="L47" s="2210">
        <f ca="1">INDIRECT("'数据-取费表'!d"&amp;$G$1)</f>
        <v>70</v>
      </c>
      <c r="M47" s="2211" t="str">
        <f>IF(ISNUMBER(FIND("住宅",C1)),"住宅","非住宅")</f>
        <v>住宅</v>
      </c>
      <c r="O47" s="2212" t="s">
        <v>999</v>
      </c>
      <c r="P47" s="2213" t="s">
        <v>1248</v>
      </c>
      <c r="Q47" s="2254">
        <f ca="1">C40+J29</f>
        <v>12428229</v>
      </c>
      <c r="R47" s="2254" t="s">
        <v>1249</v>
      </c>
    </row>
    <row r="48" s="799" customFormat="1" ht="26.25" spans="1:18">
      <c r="A48" s="2124" t="s">
        <v>1250</v>
      </c>
      <c r="B48" s="2017" t="s">
        <v>1151</v>
      </c>
      <c r="C48" s="1049">
        <f ca="1">C49+C53+C55</f>
        <v>0</v>
      </c>
      <c r="D48" s="2125"/>
      <c r="E48" s="2126"/>
      <c r="F48" s="2127"/>
      <c r="G48" s="2123"/>
      <c r="H48" s="2128"/>
      <c r="I48" s="2214" t="s">
        <v>1251</v>
      </c>
      <c r="J48" s="2215" t="s">
        <v>1469</v>
      </c>
      <c r="K48" s="2216" t="s">
        <v>1252</v>
      </c>
      <c r="L48" s="2217">
        <f ca="1">INDIRECT("'数据-取费表'!f"&amp;$G$1)</f>
        <v>46.64</v>
      </c>
      <c r="O48" s="2212" t="s">
        <v>1002</v>
      </c>
      <c r="P48" s="2213" t="s">
        <v>1253</v>
      </c>
      <c r="Q48" s="2254" t="str">
        <f ca="1">J60</f>
        <v>0</v>
      </c>
      <c r="R48" s="2254" t="s">
        <v>1254</v>
      </c>
    </row>
    <row r="49" s="799" customFormat="1" ht="13.5" spans="1:18">
      <c r="A49" s="2129" t="s">
        <v>1255</v>
      </c>
      <c r="B49" s="2130" t="s">
        <v>1256</v>
      </c>
      <c r="C49" s="2131">
        <f ca="1">ROUND(F49*F51*F50*(1-F52),0)</f>
        <v>0</v>
      </c>
      <c r="D49" s="2132" t="s">
        <v>1470</v>
      </c>
      <c r="E49" s="2133" t="s">
        <v>1257</v>
      </c>
      <c r="F49" s="2134"/>
      <c r="G49" s="2135"/>
      <c r="H49" s="2128"/>
      <c r="I49" s="2214" t="s">
        <v>1258</v>
      </c>
      <c r="J49" s="2218">
        <v>2002</v>
      </c>
      <c r="K49" s="2216" t="s">
        <v>1259</v>
      </c>
      <c r="L49" s="2219"/>
      <c r="O49" s="2220" t="s">
        <v>1260</v>
      </c>
      <c r="P49" s="2213" t="s">
        <v>1261</v>
      </c>
      <c r="Q49" s="2254">
        <f ca="1">C29</f>
        <v>1544735</v>
      </c>
      <c r="R49" s="2254" t="s">
        <v>1249</v>
      </c>
    </row>
    <row r="50" s="799" customFormat="1" ht="13.5" spans="1:18">
      <c r="A50" s="2136"/>
      <c r="B50" s="2137"/>
      <c r="C50" s="2138"/>
      <c r="D50" s="2139"/>
      <c r="E50" s="2140" t="s">
        <v>1157</v>
      </c>
      <c r="F50" s="2141">
        <f ca="1">F7</f>
        <v>211.57</v>
      </c>
      <c r="H50" s="2128"/>
      <c r="I50" s="2214" t="s">
        <v>1262</v>
      </c>
      <c r="J50" s="2221">
        <f>SUMPRODUCT((I63:I65=J47)*(J62:L62=J48)*(J63:L65))</f>
        <v>60</v>
      </c>
      <c r="K50" s="2216" t="s">
        <v>1263</v>
      </c>
      <c r="L50" s="2219"/>
      <c r="M50" s="2222"/>
      <c r="O50" s="2220" t="s">
        <v>1264</v>
      </c>
      <c r="P50" s="2213" t="s">
        <v>1265</v>
      </c>
      <c r="Q50" s="2255" t="e">
        <f ca="1">J58</f>
        <v>#VALUE!</v>
      </c>
      <c r="R50" s="2254"/>
    </row>
    <row r="51" s="799" customFormat="1" ht="13.5" spans="1:18">
      <c r="A51" s="2142"/>
      <c r="B51" s="2137"/>
      <c r="C51" s="2138"/>
      <c r="D51" s="2139"/>
      <c r="E51" s="2143" t="s">
        <v>1158</v>
      </c>
      <c r="F51" s="2027">
        <f ca="1">F8</f>
        <v>12</v>
      </c>
      <c r="I51" s="2223" t="s">
        <v>1266</v>
      </c>
      <c r="J51" s="2224">
        <f>IF(J49="",J50,J49+J50-YEAR('数据-取费表'!B2))</f>
        <v>39</v>
      </c>
      <c r="K51" s="2225" t="s">
        <v>1267</v>
      </c>
      <c r="L51" s="2226">
        <f ca="1">ROUND(-PV(INDIRECT("'数据-取费表'!h"&amp;$G$1),J51,(C39-C13*C76),0),0)</f>
        <v>4622454</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46.64</v>
      </c>
      <c r="R52" s="2254" t="s">
        <v>1274</v>
      </c>
    </row>
    <row r="53" s="799" customFormat="1" ht="30.75" customHeight="1" spans="1:18">
      <c r="A53" s="2145" t="s">
        <v>1275</v>
      </c>
      <c r="B53" s="2069" t="s">
        <v>1160</v>
      </c>
      <c r="C53" s="1047">
        <f ca="1">ROUND(IF(F53="押一",C49/12*F11,IF(F53="押二",C49/12*2*F11,IF(F53="押三",C49/12*3*F11,C54*F11))),0)</f>
        <v>0</v>
      </c>
      <c r="D53" s="2038" t="s">
        <v>1471</v>
      </c>
      <c r="E53" s="2039" t="s">
        <v>1162</v>
      </c>
      <c r="F53" s="2040"/>
      <c r="I53" s="2230" t="s">
        <v>1276</v>
      </c>
      <c r="J53" s="2231">
        <f ca="1">IF(M47="住宅",IF(D1="——",MAX(J51,L48),MAX(J51,L48-'数据-取费表'!B24)),IF(D1="——",MIN(J51,L48),MIN(J51,L48-'数据-取费表'!B24)))</f>
        <v>46.64</v>
      </c>
      <c r="K53" s="2232" t="s">
        <v>1277</v>
      </c>
      <c r="L53" s="2233"/>
      <c r="O53" s="2212" t="s">
        <v>1102</v>
      </c>
      <c r="P53" s="2213" t="s">
        <v>1278</v>
      </c>
      <c r="Q53" s="2254">
        <f ca="1">Q47+Q48</f>
        <v>12428229</v>
      </c>
      <c r="R53" s="2254" t="s">
        <v>1279</v>
      </c>
    </row>
    <row r="54" s="799" customFormat="1" ht="13.5" spans="1:18">
      <c r="A54" s="2129"/>
      <c r="B54" s="2146" t="s">
        <v>1466</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#VALUE!</v>
      </c>
      <c r="K55" s="2239" t="s">
        <v>1282</v>
      </c>
      <c r="L55" s="2240"/>
      <c r="O55" s="2205" t="s">
        <v>1242</v>
      </c>
      <c r="P55" s="2206" t="s">
        <v>1243</v>
      </c>
      <c r="Q55" s="2253" t="s">
        <v>1244</v>
      </c>
      <c r="R55" s="2253" t="s">
        <v>1245</v>
      </c>
    </row>
    <row r="56" s="799" customFormat="1" ht="36" customHeight="1" spans="1:18">
      <c r="A56" s="2149">
        <v>2</v>
      </c>
      <c r="B56" s="2150" t="s">
        <v>1166</v>
      </c>
      <c r="C56" s="430">
        <f ca="1">C13</f>
        <v>1112209</v>
      </c>
      <c r="D56" s="2151"/>
      <c r="E56" s="2152"/>
      <c r="F56" s="2148"/>
      <c r="I56" s="2241" t="s">
        <v>1283</v>
      </c>
      <c r="J56" s="2242"/>
      <c r="K56" s="2214" t="s">
        <v>1284</v>
      </c>
      <c r="L56" s="2217">
        <f ca="1">IF(L48&lt;J51,"——",L48-J51)</f>
        <v>7.64</v>
      </c>
      <c r="O56" s="2212" t="s">
        <v>999</v>
      </c>
      <c r="P56" s="2213" t="s">
        <v>1248</v>
      </c>
      <c r="Q56" s="2254">
        <f ca="1">C40+J29</f>
        <v>12428229</v>
      </c>
      <c r="R56" s="2254" t="s">
        <v>1249</v>
      </c>
    </row>
    <row r="57" s="799" customFormat="1" ht="24.75" spans="1:18">
      <c r="A57" s="2153"/>
      <c r="B57" s="2154" t="s">
        <v>1229</v>
      </c>
      <c r="C57" s="440">
        <f ca="1">C29</f>
        <v>1544735</v>
      </c>
      <c r="D57" s="2155"/>
      <c r="E57" s="2156"/>
      <c r="F57" s="2157"/>
      <c r="I57" s="2243" t="s">
        <v>1285</v>
      </c>
      <c r="J57" s="2244" t="str">
        <f ca="1">IF(OR(M47="住宅",J51&lt;L48,J56="是"),"——",J51-L48)</f>
        <v>——</v>
      </c>
      <c r="K57" s="2214" t="s">
        <v>1472</v>
      </c>
      <c r="L57" s="2217">
        <f ca="1">IF(L48&lt;J51,"——",IF(L55="比较法",L49,IF(L55="基准地价",L50,L51)))</f>
        <v>4622454</v>
      </c>
      <c r="O57" s="2212" t="s">
        <v>1002</v>
      </c>
      <c r="P57" s="2213" t="s">
        <v>1287</v>
      </c>
      <c r="Q57" s="2254">
        <f ca="1">L60</f>
        <v>0</v>
      </c>
      <c r="R57" s="2254" t="s">
        <v>1288</v>
      </c>
    </row>
    <row r="58" s="799" customFormat="1" ht="24.75" spans="1:18">
      <c r="A58" s="2158" t="s">
        <v>1174</v>
      </c>
      <c r="B58" s="2150" t="s">
        <v>1175</v>
      </c>
      <c r="C58" s="1047">
        <f ca="1">ROUND(C59+C64+C65+C66,0)</f>
        <v>16559</v>
      </c>
      <c r="D58" s="2159" t="s">
        <v>1176</v>
      </c>
      <c r="E58" s="2160"/>
      <c r="F58" s="2127"/>
      <c r="I58" s="2243" t="s">
        <v>1289</v>
      </c>
      <c r="J58" s="2245" t="e">
        <f ca="1">IF(J55&lt;0.4,0.4,J55)</f>
        <v>#VALUE!</v>
      </c>
      <c r="K58" s="2225" t="s">
        <v>1473</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str">
        <f ca="1">IF(OR(M47="住宅",J51&lt;L48,J56="是"),"——",ROUND(C29*J58,0))</f>
        <v>——</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36" t="e">
        <f ca="1">ROUND(POWER(1+L52,L47-(J51+'数据-取费表'!B24))*(POWER(1+L52,(J51+'数据-取费表'!B24))-1)/(POWER(1+L52,L47)-1),4)</f>
        <v>#DIV/0!</v>
      </c>
      <c r="N59" s="2236"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IF(项目基本情况!B11="自然人","——",ROUND(C48*F60/(1+'数据-取费表'!C42),0))</f>
        <v>——</v>
      </c>
      <c r="D60" s="2162" t="s">
        <v>1186</v>
      </c>
      <c r="E60" s="2154" t="s">
        <v>1173</v>
      </c>
      <c r="F60" s="2073">
        <f t="shared" ref="F60:F66" si="0">F32</f>
        <v>0.056</v>
      </c>
      <c r="I60" s="2246" t="s">
        <v>1294</v>
      </c>
      <c r="J60" s="2247" t="str">
        <f ca="1">IF(OR(M47="住宅",J51&lt;L48,J56="是"),"0",ROUND(J59/(1+J52)^J53,0))</f>
        <v>0</v>
      </c>
      <c r="K60" s="2248" t="s">
        <v>1295</v>
      </c>
      <c r="L60" s="2247">
        <f ca="1">IF(OR(M47="住宅",L48&lt;J51),0,ROUND(L57*(L58/L59-1),0))</f>
        <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IF(项目基本情况!B11="自然人","——",IF(D61="按租金收入计税",ROUND(C49*F61/(1+'数据-取费表'!C42),0),IF(D61="按房产原值计税",ROUND(C57*F61*0.7,0),INDIRECT("'数据-取费表'!Aj"&amp;$G$1))))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IF(项目基本情况!B11="自然人","——",ROUND(F62*F63,0))</f>
        <v>——</v>
      </c>
      <c r="D62" s="2164" t="s">
        <v>1194</v>
      </c>
      <c r="E62" s="2154" t="s">
        <v>1195</v>
      </c>
      <c r="F62" s="2072">
        <f t="shared" si="0"/>
        <v>0</v>
      </c>
      <c r="I62" s="2249" t="s">
        <v>1299</v>
      </c>
      <c r="J62" s="2250" t="s">
        <v>1300</v>
      </c>
      <c r="K62" s="2250" t="s">
        <v>1301</v>
      </c>
      <c r="L62" s="2250" t="s">
        <v>1302</v>
      </c>
      <c r="M62" s="2251" t="s">
        <v>1303</v>
      </c>
      <c r="O62" s="2212" t="s">
        <v>1102</v>
      </c>
      <c r="P62" s="2213" t="s">
        <v>1278</v>
      </c>
      <c r="Q62" s="2254">
        <f ca="1">Q56+Q57</f>
        <v>12428229</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ROUND(C57*F64,0)</f>
        <v>15447</v>
      </c>
      <c r="D64" s="2162" t="s">
        <v>1234</v>
      </c>
      <c r="E64" s="2154" t="s">
        <v>1173</v>
      </c>
      <c r="F64" s="2094">
        <f ca="1" t="shared" si="0"/>
        <v>0.01</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ROUND(C56*F65,0)</f>
        <v>1112</v>
      </c>
      <c r="D65" s="2162" t="s">
        <v>1206</v>
      </c>
      <c r="E65" s="2154" t="s">
        <v>1173</v>
      </c>
      <c r="F65" s="2095">
        <f ca="1" t="shared" si="0"/>
        <v>0.001</v>
      </c>
      <c r="I65" s="2249" t="s">
        <v>1307</v>
      </c>
      <c r="J65" s="2250">
        <v>40</v>
      </c>
      <c r="K65" s="2250">
        <v>30</v>
      </c>
      <c r="L65" s="2250">
        <v>50</v>
      </c>
      <c r="M65" s="2252">
        <v>0.02</v>
      </c>
      <c r="O65" s="2212" t="s">
        <v>999</v>
      </c>
      <c r="P65" s="2213" t="s">
        <v>1248</v>
      </c>
      <c r="Q65" s="2254">
        <f ca="1">C40+J29</f>
        <v>12428229</v>
      </c>
      <c r="R65" s="2254" t="s">
        <v>1249</v>
      </c>
    </row>
    <row r="66" s="799" customFormat="1" ht="17.25" spans="1:18">
      <c r="A66" s="2057" t="s">
        <v>946</v>
      </c>
      <c r="B66" s="2154" t="s">
        <v>1191</v>
      </c>
      <c r="C66" s="1048">
        <f ca="1">ROUND(C48*F66,0)</f>
        <v>0</v>
      </c>
      <c r="D66" s="2162" t="s">
        <v>1209</v>
      </c>
      <c r="E66" s="2154" t="s">
        <v>1173</v>
      </c>
      <c r="F66" s="2036">
        <f ca="1" t="shared" si="0"/>
        <v>0.01</v>
      </c>
      <c r="O66" s="2212" t="s">
        <v>1002</v>
      </c>
      <c r="P66" s="2213" t="s">
        <v>1287</v>
      </c>
      <c r="Q66" s="2254">
        <f ca="1">L60</f>
        <v>0</v>
      </c>
      <c r="R66" s="2254" t="s">
        <v>1288</v>
      </c>
    </row>
    <row r="67" s="799" customFormat="1" ht="17.25" spans="1:18">
      <c r="A67" s="2149" t="s">
        <v>1212</v>
      </c>
      <c r="B67" s="2256" t="s">
        <v>1213</v>
      </c>
      <c r="C67" s="1047">
        <f ca="1">C48-C58</f>
        <v>-16559</v>
      </c>
      <c r="D67" s="2161" t="s">
        <v>1214</v>
      </c>
      <c r="E67" s="2257"/>
      <c r="F67" s="2258"/>
      <c r="O67" s="2220" t="s">
        <v>1260</v>
      </c>
      <c r="P67" s="2213" t="s">
        <v>1291</v>
      </c>
      <c r="Q67" s="2278">
        <f ca="1">L51</f>
        <v>4622454</v>
      </c>
      <c r="R67" s="2254" t="s">
        <v>1308</v>
      </c>
    </row>
    <row r="68" s="799" customFormat="1" ht="17.25" spans="1:18">
      <c r="A68" s="2259" t="s">
        <v>1218</v>
      </c>
      <c r="B68" s="2260" t="s">
        <v>1235</v>
      </c>
      <c r="C68" s="2100">
        <f ca="1">ROUND(C67*(1-((1+F70)/(1+F68))^F69)/(F68-F70),0)</f>
        <v>-357964</v>
      </c>
      <c r="D68" s="2164" t="s">
        <v>1220</v>
      </c>
      <c r="E68" s="2154" t="s">
        <v>1221</v>
      </c>
      <c r="F68" s="2036">
        <f ca="1">F40</f>
        <v>0.04</v>
      </c>
      <c r="O68" s="2220" t="s">
        <v>1264</v>
      </c>
      <c r="P68" s="2277" t="s">
        <v>1309</v>
      </c>
      <c r="Q68" s="2254">
        <f ca="1">ROUND(Q69-Q70*Q71,0)</f>
        <v>236026</v>
      </c>
      <c r="R68" s="2254" t="s">
        <v>1310</v>
      </c>
    </row>
    <row r="69" s="799" customFormat="1" ht="13.5" spans="1:18">
      <c r="A69" s="2261"/>
      <c r="B69" s="2262"/>
      <c r="C69" s="2034"/>
      <c r="D69" s="2263" t="s">
        <v>1224</v>
      </c>
      <c r="E69" s="2154" t="s">
        <v>1225</v>
      </c>
      <c r="F69" s="2104">
        <f>F41</f>
        <v>51</v>
      </c>
      <c r="O69" s="2220" t="s">
        <v>1311</v>
      </c>
      <c r="P69" s="2277" t="s">
        <v>1312</v>
      </c>
      <c r="Q69" s="2254">
        <f ca="1">C39</f>
        <v>319442</v>
      </c>
      <c r="R69" s="2254" t="s">
        <v>1249</v>
      </c>
    </row>
    <row r="70" s="799" customFormat="1" ht="13.5" spans="1:18">
      <c r="A70" s="2264"/>
      <c r="B70" s="2265"/>
      <c r="C70" s="2054"/>
      <c r="D70" s="2166"/>
      <c r="E70" s="2154" t="s">
        <v>1228</v>
      </c>
      <c r="F70" s="2144"/>
      <c r="O70" s="2220" t="s">
        <v>1313</v>
      </c>
      <c r="P70" s="2277" t="s">
        <v>1314</v>
      </c>
      <c r="Q70" s="2254">
        <f ca="1">C13</f>
        <v>1112209</v>
      </c>
      <c r="R70" s="2254" t="s">
        <v>1249</v>
      </c>
    </row>
    <row r="71" s="799" customFormat="1" ht="13.5" spans="1:18">
      <c r="A71" s="2266" t="s">
        <v>1230</v>
      </c>
      <c r="B71" s="2267" t="s">
        <v>1236</v>
      </c>
      <c r="C71" s="2108">
        <f ca="1">ROUND(C68/F71,0)</f>
        <v>-1692</v>
      </c>
      <c r="D71" s="2268" t="s">
        <v>1237</v>
      </c>
      <c r="E71" s="2269" t="s">
        <v>1238</v>
      </c>
      <c r="F71" s="2111">
        <f ca="1">F43</f>
        <v>211.57</v>
      </c>
      <c r="O71" s="2220" t="s">
        <v>1315</v>
      </c>
      <c r="P71" s="2277" t="s">
        <v>1316</v>
      </c>
      <c r="Q71" s="2255">
        <f ca="1">C76</f>
        <v>0.075</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83416</v>
      </c>
      <c r="D75" s="799"/>
      <c r="E75" s="799"/>
      <c r="F75" s="799"/>
      <c r="K75" s="2199"/>
      <c r="L75" s="799"/>
      <c r="O75" s="2212" t="s">
        <v>1102</v>
      </c>
      <c r="P75" s="2213" t="s">
        <v>1278</v>
      </c>
      <c r="Q75" s="2254">
        <f ca="1">Q65+Q66</f>
        <v>12428229</v>
      </c>
      <c r="R75" s="2254" t="s">
        <v>1279</v>
      </c>
    </row>
    <row r="76" spans="2:12">
      <c r="B76" s="575" t="s">
        <v>1320</v>
      </c>
      <c r="C76" s="2273">
        <f ca="1">INDIRECT("'数据-取费表'!j"&amp;$G$1)</f>
        <v>0.075</v>
      </c>
      <c r="I76" s="799"/>
      <c r="J76" s="799"/>
      <c r="K76" s="2199"/>
      <c r="L76" s="799"/>
    </row>
    <row r="77" spans="2:12">
      <c r="B77" s="2274" t="s">
        <v>1321</v>
      </c>
      <c r="C77" s="2275"/>
      <c r="I77" s="799"/>
      <c r="J77" s="799"/>
      <c r="K77" s="2199"/>
      <c r="L77" s="799"/>
    </row>
    <row r="78" spans="2:3">
      <c r="B78" s="473" t="s">
        <v>1322</v>
      </c>
      <c r="C78" s="2276"/>
    </row>
    <row r="79" spans="2:3">
      <c r="B79" s="2271" t="s">
        <v>1323</v>
      </c>
      <c r="C79" s="476">
        <f ca="1">1-C80</f>
        <v>0.739</v>
      </c>
    </row>
    <row r="80" spans="2:3">
      <c r="B80" s="2271" t="s">
        <v>1324</v>
      </c>
      <c r="C80" s="476">
        <f ca="1">ROUND(C75/C39,3)</f>
        <v>0.261</v>
      </c>
    </row>
    <row r="81" spans="2:3">
      <c r="B81" s="473" t="s">
        <v>1325</v>
      </c>
      <c r="C81" s="440"/>
    </row>
    <row r="82" spans="2:3">
      <c r="B82" s="475" t="s">
        <v>1078</v>
      </c>
      <c r="C82" s="477">
        <f ca="1">1-C83</f>
        <v>0.911</v>
      </c>
    </row>
    <row r="83" spans="2:3">
      <c r="B83" s="475" t="s">
        <v>1079</v>
      </c>
      <c r="C83" s="476">
        <f ca="1">ROUND(C13/C40,3)</f>
        <v>0.089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03" customWidth="1"/>
    <col min="2" max="2" width="8.875" style="1803"/>
    <col min="3" max="5" width="12.875" style="1803" customWidth="1"/>
    <col min="6" max="6" width="47.5" style="1803" customWidth="1"/>
    <col min="7" max="7" width="13" style="1804" customWidth="1"/>
    <col min="8" max="8" width="8.875" style="1805"/>
    <col min="9" max="9" width="8.875" style="1806"/>
    <col min="10" max="10" width="5.75" style="1807" customWidth="1"/>
    <col min="11" max="11" width="11.75" style="1807" customWidth="1"/>
    <col min="12" max="13" width="10.75" style="1807" customWidth="1"/>
    <col min="14" max="14" width="10" style="1807" customWidth="1"/>
    <col min="15" max="16" width="10.5" style="1807" customWidth="1"/>
    <col min="17" max="17" width="10" style="1807" customWidth="1"/>
    <col min="18" max="18" width="10.125" style="1807" customWidth="1"/>
    <col min="19" max="19" width="10" style="1807" customWidth="1"/>
    <col min="20" max="20" width="26.125" style="1807" customWidth="1"/>
    <col min="21" max="21" width="8.875" style="1807"/>
    <col min="22" max="22" width="8.875" style="1806"/>
    <col min="23" max="256" width="8.875" style="1803"/>
    <col min="257" max="257" width="9.5" style="1803" customWidth="1"/>
    <col min="258" max="258" width="8.875" style="1803"/>
    <col min="259" max="261" width="12.875" style="1803" customWidth="1"/>
    <col min="262" max="262" width="47.5" style="1803" customWidth="1"/>
    <col min="263" max="263" width="13" style="1803" customWidth="1"/>
    <col min="264" max="265" width="8.875" style="1803"/>
    <col min="266" max="266" width="5.75" style="1803" customWidth="1"/>
    <col min="267" max="267" width="11.75" style="1803" customWidth="1"/>
    <col min="268" max="269" width="10.75" style="1803" customWidth="1"/>
    <col min="270" max="270" width="10" style="1803" customWidth="1"/>
    <col min="271" max="272" width="10.5" style="1803" customWidth="1"/>
    <col min="273" max="273" width="10" style="1803" customWidth="1"/>
    <col min="274" max="274" width="10.125" style="1803" customWidth="1"/>
    <col min="275" max="275" width="10" style="1803" customWidth="1"/>
    <col min="276" max="276" width="26.125" style="1803" customWidth="1"/>
    <col min="277" max="512" width="8.875" style="1803"/>
    <col min="513" max="513" width="9.5" style="1803" customWidth="1"/>
    <col min="514" max="514" width="8.875" style="1803"/>
    <col min="515" max="517" width="12.875" style="1803" customWidth="1"/>
    <col min="518" max="518" width="47.5" style="1803" customWidth="1"/>
    <col min="519" max="519" width="13" style="1803" customWidth="1"/>
    <col min="520" max="521" width="8.875" style="1803"/>
    <col min="522" max="522" width="5.75" style="1803" customWidth="1"/>
    <col min="523" max="523" width="11.75" style="1803" customWidth="1"/>
    <col min="524" max="525" width="10.75" style="1803" customWidth="1"/>
    <col min="526" max="526" width="10" style="1803" customWidth="1"/>
    <col min="527" max="528" width="10.5" style="1803" customWidth="1"/>
    <col min="529" max="529" width="10" style="1803" customWidth="1"/>
    <col min="530" max="530" width="10.125" style="1803" customWidth="1"/>
    <col min="531" max="531" width="10" style="1803" customWidth="1"/>
    <col min="532" max="532" width="26.125" style="1803" customWidth="1"/>
    <col min="533" max="768" width="8.875" style="1803"/>
    <col min="769" max="769" width="9.5" style="1803" customWidth="1"/>
    <col min="770" max="770" width="8.875" style="1803"/>
    <col min="771" max="773" width="12.875" style="1803" customWidth="1"/>
    <col min="774" max="774" width="47.5" style="1803" customWidth="1"/>
    <col min="775" max="775" width="13" style="1803" customWidth="1"/>
    <col min="776" max="777" width="8.875" style="1803"/>
    <col min="778" max="778" width="5.75" style="1803" customWidth="1"/>
    <col min="779" max="779" width="11.75" style="1803" customWidth="1"/>
    <col min="780" max="781" width="10.75" style="1803" customWidth="1"/>
    <col min="782" max="782" width="10" style="1803" customWidth="1"/>
    <col min="783" max="784" width="10.5" style="1803" customWidth="1"/>
    <col min="785" max="785" width="10" style="1803" customWidth="1"/>
    <col min="786" max="786" width="10.125" style="1803" customWidth="1"/>
    <col min="787" max="787" width="10" style="1803" customWidth="1"/>
    <col min="788" max="788" width="26.125" style="1803" customWidth="1"/>
    <col min="789" max="1024" width="8.875" style="1803"/>
    <col min="1025" max="1025" width="9.5" style="1803" customWidth="1"/>
    <col min="1026" max="1026" width="8.875" style="1803"/>
    <col min="1027" max="1029" width="12.875" style="1803" customWidth="1"/>
    <col min="1030" max="1030" width="47.5" style="1803" customWidth="1"/>
    <col min="1031" max="1031" width="13" style="1803" customWidth="1"/>
    <col min="1032" max="1033" width="8.875" style="1803"/>
    <col min="1034" max="1034" width="5.75" style="1803" customWidth="1"/>
    <col min="1035" max="1035" width="11.75" style="1803" customWidth="1"/>
    <col min="1036" max="1037" width="10.75" style="1803" customWidth="1"/>
    <col min="1038" max="1038" width="10" style="1803" customWidth="1"/>
    <col min="1039" max="1040" width="10.5" style="1803" customWidth="1"/>
    <col min="1041" max="1041" width="10" style="1803" customWidth="1"/>
    <col min="1042" max="1042" width="10.125" style="1803" customWidth="1"/>
    <col min="1043" max="1043" width="10" style="1803" customWidth="1"/>
    <col min="1044" max="1044" width="26.125" style="1803" customWidth="1"/>
    <col min="1045" max="1280" width="8.875" style="1803"/>
    <col min="1281" max="1281" width="9.5" style="1803" customWidth="1"/>
    <col min="1282" max="1282" width="8.875" style="1803"/>
    <col min="1283" max="1285" width="12.875" style="1803" customWidth="1"/>
    <col min="1286" max="1286" width="47.5" style="1803" customWidth="1"/>
    <col min="1287" max="1287" width="13" style="1803" customWidth="1"/>
    <col min="1288" max="1289" width="8.875" style="1803"/>
    <col min="1290" max="1290" width="5.75" style="1803" customWidth="1"/>
    <col min="1291" max="1291" width="11.75" style="1803" customWidth="1"/>
    <col min="1292" max="1293" width="10.75" style="1803" customWidth="1"/>
    <col min="1294" max="1294" width="10" style="1803" customWidth="1"/>
    <col min="1295" max="1296" width="10.5" style="1803" customWidth="1"/>
    <col min="1297" max="1297" width="10" style="1803" customWidth="1"/>
    <col min="1298" max="1298" width="10.125" style="1803" customWidth="1"/>
    <col min="1299" max="1299" width="10" style="1803" customWidth="1"/>
    <col min="1300" max="1300" width="26.125" style="1803" customWidth="1"/>
    <col min="1301" max="1536" width="8.875" style="1803"/>
    <col min="1537" max="1537" width="9.5" style="1803" customWidth="1"/>
    <col min="1538" max="1538" width="8.875" style="1803"/>
    <col min="1539" max="1541" width="12.875" style="1803" customWidth="1"/>
    <col min="1542" max="1542" width="47.5" style="1803" customWidth="1"/>
    <col min="1543" max="1543" width="13" style="1803" customWidth="1"/>
    <col min="1544" max="1545" width="8.875" style="1803"/>
    <col min="1546" max="1546" width="5.75" style="1803" customWidth="1"/>
    <col min="1547" max="1547" width="11.75" style="1803" customWidth="1"/>
    <col min="1548" max="1549" width="10.75" style="1803" customWidth="1"/>
    <col min="1550" max="1550" width="10" style="1803" customWidth="1"/>
    <col min="1551" max="1552" width="10.5" style="1803" customWidth="1"/>
    <col min="1553" max="1553" width="10" style="1803" customWidth="1"/>
    <col min="1554" max="1554" width="10.125" style="1803" customWidth="1"/>
    <col min="1555" max="1555" width="10" style="1803" customWidth="1"/>
    <col min="1556" max="1556" width="26.125" style="1803" customWidth="1"/>
    <col min="1557" max="1792" width="8.875" style="1803"/>
    <col min="1793" max="1793" width="9.5" style="1803" customWidth="1"/>
    <col min="1794" max="1794" width="8.875" style="1803"/>
    <col min="1795" max="1797" width="12.875" style="1803" customWidth="1"/>
    <col min="1798" max="1798" width="47.5" style="1803" customWidth="1"/>
    <col min="1799" max="1799" width="13" style="1803" customWidth="1"/>
    <col min="1800" max="1801" width="8.875" style="1803"/>
    <col min="1802" max="1802" width="5.75" style="1803" customWidth="1"/>
    <col min="1803" max="1803" width="11.75" style="1803" customWidth="1"/>
    <col min="1804" max="1805" width="10.75" style="1803" customWidth="1"/>
    <col min="1806" max="1806" width="10" style="1803" customWidth="1"/>
    <col min="1807" max="1808" width="10.5" style="1803" customWidth="1"/>
    <col min="1809" max="1809" width="10" style="1803" customWidth="1"/>
    <col min="1810" max="1810" width="10.125" style="1803" customWidth="1"/>
    <col min="1811" max="1811" width="10" style="1803" customWidth="1"/>
    <col min="1812" max="1812" width="26.125" style="1803" customWidth="1"/>
    <col min="1813" max="2048" width="8.875" style="1803"/>
    <col min="2049" max="2049" width="9.5" style="1803" customWidth="1"/>
    <col min="2050" max="2050" width="8.875" style="1803"/>
    <col min="2051" max="2053" width="12.875" style="1803" customWidth="1"/>
    <col min="2054" max="2054" width="47.5" style="1803" customWidth="1"/>
    <col min="2055" max="2055" width="13" style="1803" customWidth="1"/>
    <col min="2056" max="2057" width="8.875" style="1803"/>
    <col min="2058" max="2058" width="5.75" style="1803" customWidth="1"/>
    <col min="2059" max="2059" width="11.75" style="1803" customWidth="1"/>
    <col min="2060" max="2061" width="10.75" style="1803" customWidth="1"/>
    <col min="2062" max="2062" width="10" style="1803" customWidth="1"/>
    <col min="2063" max="2064" width="10.5" style="1803" customWidth="1"/>
    <col min="2065" max="2065" width="10" style="1803" customWidth="1"/>
    <col min="2066" max="2066" width="10.125" style="1803" customWidth="1"/>
    <col min="2067" max="2067" width="10" style="1803" customWidth="1"/>
    <col min="2068" max="2068" width="26.125" style="1803" customWidth="1"/>
    <col min="2069" max="2304" width="8.875" style="1803"/>
    <col min="2305" max="2305" width="9.5" style="1803" customWidth="1"/>
    <col min="2306" max="2306" width="8.875" style="1803"/>
    <col min="2307" max="2309" width="12.875" style="1803" customWidth="1"/>
    <col min="2310" max="2310" width="47.5" style="1803" customWidth="1"/>
    <col min="2311" max="2311" width="13" style="1803" customWidth="1"/>
    <col min="2312" max="2313" width="8.875" style="1803"/>
    <col min="2314" max="2314" width="5.75" style="1803" customWidth="1"/>
    <col min="2315" max="2315" width="11.75" style="1803" customWidth="1"/>
    <col min="2316" max="2317" width="10.75" style="1803" customWidth="1"/>
    <col min="2318" max="2318" width="10" style="1803" customWidth="1"/>
    <col min="2319" max="2320" width="10.5" style="1803" customWidth="1"/>
    <col min="2321" max="2321" width="10" style="1803" customWidth="1"/>
    <col min="2322" max="2322" width="10.125" style="1803" customWidth="1"/>
    <col min="2323" max="2323" width="10" style="1803" customWidth="1"/>
    <col min="2324" max="2324" width="26.125" style="1803" customWidth="1"/>
    <col min="2325" max="2560" width="8.875" style="1803"/>
    <col min="2561" max="2561" width="9.5" style="1803" customWidth="1"/>
    <col min="2562" max="2562" width="8.875" style="1803"/>
    <col min="2563" max="2565" width="12.875" style="1803" customWidth="1"/>
    <col min="2566" max="2566" width="47.5" style="1803" customWidth="1"/>
    <col min="2567" max="2567" width="13" style="1803" customWidth="1"/>
    <col min="2568" max="2569" width="8.875" style="1803"/>
    <col min="2570" max="2570" width="5.75" style="1803" customWidth="1"/>
    <col min="2571" max="2571" width="11.75" style="1803" customWidth="1"/>
    <col min="2572" max="2573" width="10.75" style="1803" customWidth="1"/>
    <col min="2574" max="2574" width="10" style="1803" customWidth="1"/>
    <col min="2575" max="2576" width="10.5" style="1803" customWidth="1"/>
    <col min="2577" max="2577" width="10" style="1803" customWidth="1"/>
    <col min="2578" max="2578" width="10.125" style="1803" customWidth="1"/>
    <col min="2579" max="2579" width="10" style="1803" customWidth="1"/>
    <col min="2580" max="2580" width="26.125" style="1803" customWidth="1"/>
    <col min="2581" max="2816" width="8.875" style="1803"/>
    <col min="2817" max="2817" width="9.5" style="1803" customWidth="1"/>
    <col min="2818" max="2818" width="8.875" style="1803"/>
    <col min="2819" max="2821" width="12.875" style="1803" customWidth="1"/>
    <col min="2822" max="2822" width="47.5" style="1803" customWidth="1"/>
    <col min="2823" max="2823" width="13" style="1803" customWidth="1"/>
    <col min="2824" max="2825" width="8.875" style="1803"/>
    <col min="2826" max="2826" width="5.75" style="1803" customWidth="1"/>
    <col min="2827" max="2827" width="11.75" style="1803" customWidth="1"/>
    <col min="2828" max="2829" width="10.75" style="1803" customWidth="1"/>
    <col min="2830" max="2830" width="10" style="1803" customWidth="1"/>
    <col min="2831" max="2832" width="10.5" style="1803" customWidth="1"/>
    <col min="2833" max="2833" width="10" style="1803" customWidth="1"/>
    <col min="2834" max="2834" width="10.125" style="1803" customWidth="1"/>
    <col min="2835" max="2835" width="10" style="1803" customWidth="1"/>
    <col min="2836" max="2836" width="26.125" style="1803" customWidth="1"/>
    <col min="2837" max="3072" width="8.875" style="1803"/>
    <col min="3073" max="3073" width="9.5" style="1803" customWidth="1"/>
    <col min="3074" max="3074" width="8.875" style="1803"/>
    <col min="3075" max="3077" width="12.875" style="1803" customWidth="1"/>
    <col min="3078" max="3078" width="47.5" style="1803" customWidth="1"/>
    <col min="3079" max="3079" width="13" style="1803" customWidth="1"/>
    <col min="3080" max="3081" width="8.875" style="1803"/>
    <col min="3082" max="3082" width="5.75" style="1803" customWidth="1"/>
    <col min="3083" max="3083" width="11.75" style="1803" customWidth="1"/>
    <col min="3084" max="3085" width="10.75" style="1803" customWidth="1"/>
    <col min="3086" max="3086" width="10" style="1803" customWidth="1"/>
    <col min="3087" max="3088" width="10.5" style="1803" customWidth="1"/>
    <col min="3089" max="3089" width="10" style="1803" customWidth="1"/>
    <col min="3090" max="3090" width="10.125" style="1803" customWidth="1"/>
    <col min="3091" max="3091" width="10" style="1803" customWidth="1"/>
    <col min="3092" max="3092" width="26.125" style="1803" customWidth="1"/>
    <col min="3093" max="3328" width="8.875" style="1803"/>
    <col min="3329" max="3329" width="9.5" style="1803" customWidth="1"/>
    <col min="3330" max="3330" width="8.875" style="1803"/>
    <col min="3331" max="3333" width="12.875" style="1803" customWidth="1"/>
    <col min="3334" max="3334" width="47.5" style="1803" customWidth="1"/>
    <col min="3335" max="3335" width="13" style="1803" customWidth="1"/>
    <col min="3336" max="3337" width="8.875" style="1803"/>
    <col min="3338" max="3338" width="5.75" style="1803" customWidth="1"/>
    <col min="3339" max="3339" width="11.75" style="1803" customWidth="1"/>
    <col min="3340" max="3341" width="10.75" style="1803" customWidth="1"/>
    <col min="3342" max="3342" width="10" style="1803" customWidth="1"/>
    <col min="3343" max="3344" width="10.5" style="1803" customWidth="1"/>
    <col min="3345" max="3345" width="10" style="1803" customWidth="1"/>
    <col min="3346" max="3346" width="10.125" style="1803" customWidth="1"/>
    <col min="3347" max="3347" width="10" style="1803" customWidth="1"/>
    <col min="3348" max="3348" width="26.125" style="1803" customWidth="1"/>
    <col min="3349" max="3584" width="8.875" style="1803"/>
    <col min="3585" max="3585" width="9.5" style="1803" customWidth="1"/>
    <col min="3586" max="3586" width="8.875" style="1803"/>
    <col min="3587" max="3589" width="12.875" style="1803" customWidth="1"/>
    <col min="3590" max="3590" width="47.5" style="1803" customWidth="1"/>
    <col min="3591" max="3591" width="13" style="1803" customWidth="1"/>
    <col min="3592" max="3593" width="8.875" style="1803"/>
    <col min="3594" max="3594" width="5.75" style="1803" customWidth="1"/>
    <col min="3595" max="3595" width="11.75" style="1803" customWidth="1"/>
    <col min="3596" max="3597" width="10.75" style="1803" customWidth="1"/>
    <col min="3598" max="3598" width="10" style="1803" customWidth="1"/>
    <col min="3599" max="3600" width="10.5" style="1803" customWidth="1"/>
    <col min="3601" max="3601" width="10" style="1803" customWidth="1"/>
    <col min="3602" max="3602" width="10.125" style="1803" customWidth="1"/>
    <col min="3603" max="3603" width="10" style="1803" customWidth="1"/>
    <col min="3604" max="3604" width="26.125" style="1803" customWidth="1"/>
    <col min="3605" max="3840" width="8.875" style="1803"/>
    <col min="3841" max="3841" width="9.5" style="1803" customWidth="1"/>
    <col min="3842" max="3842" width="8.875" style="1803"/>
    <col min="3843" max="3845" width="12.875" style="1803" customWidth="1"/>
    <col min="3846" max="3846" width="47.5" style="1803" customWidth="1"/>
    <col min="3847" max="3847" width="13" style="1803" customWidth="1"/>
    <col min="3848" max="3849" width="8.875" style="1803"/>
    <col min="3850" max="3850" width="5.75" style="1803" customWidth="1"/>
    <col min="3851" max="3851" width="11.75" style="1803" customWidth="1"/>
    <col min="3852" max="3853" width="10.75" style="1803" customWidth="1"/>
    <col min="3854" max="3854" width="10" style="1803" customWidth="1"/>
    <col min="3855" max="3856" width="10.5" style="1803" customWidth="1"/>
    <col min="3857" max="3857" width="10" style="1803" customWidth="1"/>
    <col min="3858" max="3858" width="10.125" style="1803" customWidth="1"/>
    <col min="3859" max="3859" width="10" style="1803" customWidth="1"/>
    <col min="3860" max="3860" width="26.125" style="1803" customWidth="1"/>
    <col min="3861" max="4096" width="8.875" style="1803"/>
    <col min="4097" max="4097" width="9.5" style="1803" customWidth="1"/>
    <col min="4098" max="4098" width="8.875" style="1803"/>
    <col min="4099" max="4101" width="12.875" style="1803" customWidth="1"/>
    <col min="4102" max="4102" width="47.5" style="1803" customWidth="1"/>
    <col min="4103" max="4103" width="13" style="1803" customWidth="1"/>
    <col min="4104" max="4105" width="8.875" style="1803"/>
    <col min="4106" max="4106" width="5.75" style="1803" customWidth="1"/>
    <col min="4107" max="4107" width="11.75" style="1803" customWidth="1"/>
    <col min="4108" max="4109" width="10.75" style="1803" customWidth="1"/>
    <col min="4110" max="4110" width="10" style="1803" customWidth="1"/>
    <col min="4111" max="4112" width="10.5" style="1803" customWidth="1"/>
    <col min="4113" max="4113" width="10" style="1803" customWidth="1"/>
    <col min="4114" max="4114" width="10.125" style="1803" customWidth="1"/>
    <col min="4115" max="4115" width="10" style="1803" customWidth="1"/>
    <col min="4116" max="4116" width="26.125" style="1803" customWidth="1"/>
    <col min="4117" max="4352" width="8.875" style="1803"/>
    <col min="4353" max="4353" width="9.5" style="1803" customWidth="1"/>
    <col min="4354" max="4354" width="8.875" style="1803"/>
    <col min="4355" max="4357" width="12.875" style="1803" customWidth="1"/>
    <col min="4358" max="4358" width="47.5" style="1803" customWidth="1"/>
    <col min="4359" max="4359" width="13" style="1803" customWidth="1"/>
    <col min="4360" max="4361" width="8.875" style="1803"/>
    <col min="4362" max="4362" width="5.75" style="1803" customWidth="1"/>
    <col min="4363" max="4363" width="11.75" style="1803" customWidth="1"/>
    <col min="4364" max="4365" width="10.75" style="1803" customWidth="1"/>
    <col min="4366" max="4366" width="10" style="1803" customWidth="1"/>
    <col min="4367" max="4368" width="10.5" style="1803" customWidth="1"/>
    <col min="4369" max="4369" width="10" style="1803" customWidth="1"/>
    <col min="4370" max="4370" width="10.125" style="1803" customWidth="1"/>
    <col min="4371" max="4371" width="10" style="1803" customWidth="1"/>
    <col min="4372" max="4372" width="26.125" style="1803" customWidth="1"/>
    <col min="4373" max="4608" width="8.875" style="1803"/>
    <col min="4609" max="4609" width="9.5" style="1803" customWidth="1"/>
    <col min="4610" max="4610" width="8.875" style="1803"/>
    <col min="4611" max="4613" width="12.875" style="1803" customWidth="1"/>
    <col min="4614" max="4614" width="47.5" style="1803" customWidth="1"/>
    <col min="4615" max="4615" width="13" style="1803" customWidth="1"/>
    <col min="4616" max="4617" width="8.875" style="1803"/>
    <col min="4618" max="4618" width="5.75" style="1803" customWidth="1"/>
    <col min="4619" max="4619" width="11.75" style="1803" customWidth="1"/>
    <col min="4620" max="4621" width="10.75" style="1803" customWidth="1"/>
    <col min="4622" max="4622" width="10" style="1803" customWidth="1"/>
    <col min="4623" max="4624" width="10.5" style="1803" customWidth="1"/>
    <col min="4625" max="4625" width="10" style="1803" customWidth="1"/>
    <col min="4626" max="4626" width="10.125" style="1803" customWidth="1"/>
    <col min="4627" max="4627" width="10" style="1803" customWidth="1"/>
    <col min="4628" max="4628" width="26.125" style="1803" customWidth="1"/>
    <col min="4629" max="4864" width="8.875" style="1803"/>
    <col min="4865" max="4865" width="9.5" style="1803" customWidth="1"/>
    <col min="4866" max="4866" width="8.875" style="1803"/>
    <col min="4867" max="4869" width="12.875" style="1803" customWidth="1"/>
    <col min="4870" max="4870" width="47.5" style="1803" customWidth="1"/>
    <col min="4871" max="4871" width="13" style="1803" customWidth="1"/>
    <col min="4872" max="4873" width="8.875" style="1803"/>
    <col min="4874" max="4874" width="5.75" style="1803" customWidth="1"/>
    <col min="4875" max="4875" width="11.75" style="1803" customWidth="1"/>
    <col min="4876" max="4877" width="10.75" style="1803" customWidth="1"/>
    <col min="4878" max="4878" width="10" style="1803" customWidth="1"/>
    <col min="4879" max="4880" width="10.5" style="1803" customWidth="1"/>
    <col min="4881" max="4881" width="10" style="1803" customWidth="1"/>
    <col min="4882" max="4882" width="10.125" style="1803" customWidth="1"/>
    <col min="4883" max="4883" width="10" style="1803" customWidth="1"/>
    <col min="4884" max="4884" width="26.125" style="1803" customWidth="1"/>
    <col min="4885" max="5120" width="8.875" style="1803"/>
    <col min="5121" max="5121" width="9.5" style="1803" customWidth="1"/>
    <col min="5122" max="5122" width="8.875" style="1803"/>
    <col min="5123" max="5125" width="12.875" style="1803" customWidth="1"/>
    <col min="5126" max="5126" width="47.5" style="1803" customWidth="1"/>
    <col min="5127" max="5127" width="13" style="1803" customWidth="1"/>
    <col min="5128" max="5129" width="8.875" style="1803"/>
    <col min="5130" max="5130" width="5.75" style="1803" customWidth="1"/>
    <col min="5131" max="5131" width="11.75" style="1803" customWidth="1"/>
    <col min="5132" max="5133" width="10.75" style="1803" customWidth="1"/>
    <col min="5134" max="5134" width="10" style="1803" customWidth="1"/>
    <col min="5135" max="5136" width="10.5" style="1803" customWidth="1"/>
    <col min="5137" max="5137" width="10" style="1803" customWidth="1"/>
    <col min="5138" max="5138" width="10.125" style="1803" customWidth="1"/>
    <col min="5139" max="5139" width="10" style="1803" customWidth="1"/>
    <col min="5140" max="5140" width="26.125" style="1803" customWidth="1"/>
    <col min="5141" max="5376" width="8.875" style="1803"/>
    <col min="5377" max="5377" width="9.5" style="1803" customWidth="1"/>
    <col min="5378" max="5378" width="8.875" style="1803"/>
    <col min="5379" max="5381" width="12.875" style="1803" customWidth="1"/>
    <col min="5382" max="5382" width="47.5" style="1803" customWidth="1"/>
    <col min="5383" max="5383" width="13" style="1803" customWidth="1"/>
    <col min="5384" max="5385" width="8.875" style="1803"/>
    <col min="5386" max="5386" width="5.75" style="1803" customWidth="1"/>
    <col min="5387" max="5387" width="11.75" style="1803" customWidth="1"/>
    <col min="5388" max="5389" width="10.75" style="1803" customWidth="1"/>
    <col min="5390" max="5390" width="10" style="1803" customWidth="1"/>
    <col min="5391" max="5392" width="10.5" style="1803" customWidth="1"/>
    <col min="5393" max="5393" width="10" style="1803" customWidth="1"/>
    <col min="5394" max="5394" width="10.125" style="1803" customWidth="1"/>
    <col min="5395" max="5395" width="10" style="1803" customWidth="1"/>
    <col min="5396" max="5396" width="26.125" style="1803" customWidth="1"/>
    <col min="5397" max="5632" width="8.875" style="1803"/>
    <col min="5633" max="5633" width="9.5" style="1803" customWidth="1"/>
    <col min="5634" max="5634" width="8.875" style="1803"/>
    <col min="5635" max="5637" width="12.875" style="1803" customWidth="1"/>
    <col min="5638" max="5638" width="47.5" style="1803" customWidth="1"/>
    <col min="5639" max="5639" width="13" style="1803" customWidth="1"/>
    <col min="5640" max="5641" width="8.875" style="1803"/>
    <col min="5642" max="5642" width="5.75" style="1803" customWidth="1"/>
    <col min="5643" max="5643" width="11.75" style="1803" customWidth="1"/>
    <col min="5644" max="5645" width="10.75" style="1803" customWidth="1"/>
    <col min="5646" max="5646" width="10" style="1803" customWidth="1"/>
    <col min="5647" max="5648" width="10.5" style="1803" customWidth="1"/>
    <col min="5649" max="5649" width="10" style="1803" customWidth="1"/>
    <col min="5650" max="5650" width="10.125" style="1803" customWidth="1"/>
    <col min="5651" max="5651" width="10" style="1803" customWidth="1"/>
    <col min="5652" max="5652" width="26.125" style="1803" customWidth="1"/>
    <col min="5653" max="5888" width="8.875" style="1803"/>
    <col min="5889" max="5889" width="9.5" style="1803" customWidth="1"/>
    <col min="5890" max="5890" width="8.875" style="1803"/>
    <col min="5891" max="5893" width="12.875" style="1803" customWidth="1"/>
    <col min="5894" max="5894" width="47.5" style="1803" customWidth="1"/>
    <col min="5895" max="5895" width="13" style="1803" customWidth="1"/>
    <col min="5896" max="5897" width="8.875" style="1803"/>
    <col min="5898" max="5898" width="5.75" style="1803" customWidth="1"/>
    <col min="5899" max="5899" width="11.75" style="1803" customWidth="1"/>
    <col min="5900" max="5901" width="10.75" style="1803" customWidth="1"/>
    <col min="5902" max="5902" width="10" style="1803" customWidth="1"/>
    <col min="5903" max="5904" width="10.5" style="1803" customWidth="1"/>
    <col min="5905" max="5905" width="10" style="1803" customWidth="1"/>
    <col min="5906" max="5906" width="10.125" style="1803" customWidth="1"/>
    <col min="5907" max="5907" width="10" style="1803" customWidth="1"/>
    <col min="5908" max="5908" width="26.125" style="1803" customWidth="1"/>
    <col min="5909" max="6144" width="8.875" style="1803"/>
    <col min="6145" max="6145" width="9.5" style="1803" customWidth="1"/>
    <col min="6146" max="6146" width="8.875" style="1803"/>
    <col min="6147" max="6149" width="12.875" style="1803" customWidth="1"/>
    <col min="6150" max="6150" width="47.5" style="1803" customWidth="1"/>
    <col min="6151" max="6151" width="13" style="1803" customWidth="1"/>
    <col min="6152" max="6153" width="8.875" style="1803"/>
    <col min="6154" max="6154" width="5.75" style="1803" customWidth="1"/>
    <col min="6155" max="6155" width="11.75" style="1803" customWidth="1"/>
    <col min="6156" max="6157" width="10.75" style="1803" customWidth="1"/>
    <col min="6158" max="6158" width="10" style="1803" customWidth="1"/>
    <col min="6159" max="6160" width="10.5" style="1803" customWidth="1"/>
    <col min="6161" max="6161" width="10" style="1803" customWidth="1"/>
    <col min="6162" max="6162" width="10.125" style="1803" customWidth="1"/>
    <col min="6163" max="6163" width="10" style="1803" customWidth="1"/>
    <col min="6164" max="6164" width="26.125" style="1803" customWidth="1"/>
    <col min="6165" max="6400" width="8.875" style="1803"/>
    <col min="6401" max="6401" width="9.5" style="1803" customWidth="1"/>
    <col min="6402" max="6402" width="8.875" style="1803"/>
    <col min="6403" max="6405" width="12.875" style="1803" customWidth="1"/>
    <col min="6406" max="6406" width="47.5" style="1803" customWidth="1"/>
    <col min="6407" max="6407" width="13" style="1803" customWidth="1"/>
    <col min="6408" max="6409" width="8.875" style="1803"/>
    <col min="6410" max="6410" width="5.75" style="1803" customWidth="1"/>
    <col min="6411" max="6411" width="11.75" style="1803" customWidth="1"/>
    <col min="6412" max="6413" width="10.75" style="1803" customWidth="1"/>
    <col min="6414" max="6414" width="10" style="1803" customWidth="1"/>
    <col min="6415" max="6416" width="10.5" style="1803" customWidth="1"/>
    <col min="6417" max="6417" width="10" style="1803" customWidth="1"/>
    <col min="6418" max="6418" width="10.125" style="1803" customWidth="1"/>
    <col min="6419" max="6419" width="10" style="1803" customWidth="1"/>
    <col min="6420" max="6420" width="26.125" style="1803" customWidth="1"/>
    <col min="6421" max="6656" width="8.875" style="1803"/>
    <col min="6657" max="6657" width="9.5" style="1803" customWidth="1"/>
    <col min="6658" max="6658" width="8.875" style="1803"/>
    <col min="6659" max="6661" width="12.875" style="1803" customWidth="1"/>
    <col min="6662" max="6662" width="47.5" style="1803" customWidth="1"/>
    <col min="6663" max="6663" width="13" style="1803" customWidth="1"/>
    <col min="6664" max="6665" width="8.875" style="1803"/>
    <col min="6666" max="6666" width="5.75" style="1803" customWidth="1"/>
    <col min="6667" max="6667" width="11.75" style="1803" customWidth="1"/>
    <col min="6668" max="6669" width="10.75" style="1803" customWidth="1"/>
    <col min="6670" max="6670" width="10" style="1803" customWidth="1"/>
    <col min="6671" max="6672" width="10.5" style="1803" customWidth="1"/>
    <col min="6673" max="6673" width="10" style="1803" customWidth="1"/>
    <col min="6674" max="6674" width="10.125" style="1803" customWidth="1"/>
    <col min="6675" max="6675" width="10" style="1803" customWidth="1"/>
    <col min="6676" max="6676" width="26.125" style="1803" customWidth="1"/>
    <col min="6677" max="6912" width="8.875" style="1803"/>
    <col min="6913" max="6913" width="9.5" style="1803" customWidth="1"/>
    <col min="6914" max="6914" width="8.875" style="1803"/>
    <col min="6915" max="6917" width="12.875" style="1803" customWidth="1"/>
    <col min="6918" max="6918" width="47.5" style="1803" customWidth="1"/>
    <col min="6919" max="6919" width="13" style="1803" customWidth="1"/>
    <col min="6920" max="6921" width="8.875" style="1803"/>
    <col min="6922" max="6922" width="5.75" style="1803" customWidth="1"/>
    <col min="6923" max="6923" width="11.75" style="1803" customWidth="1"/>
    <col min="6924" max="6925" width="10.75" style="1803" customWidth="1"/>
    <col min="6926" max="6926" width="10" style="1803" customWidth="1"/>
    <col min="6927" max="6928" width="10.5" style="1803" customWidth="1"/>
    <col min="6929" max="6929" width="10" style="1803" customWidth="1"/>
    <col min="6930" max="6930" width="10.125" style="1803" customWidth="1"/>
    <col min="6931" max="6931" width="10" style="1803" customWidth="1"/>
    <col min="6932" max="6932" width="26.125" style="1803" customWidth="1"/>
    <col min="6933" max="7168" width="8.875" style="1803"/>
    <col min="7169" max="7169" width="9.5" style="1803" customWidth="1"/>
    <col min="7170" max="7170" width="8.875" style="1803"/>
    <col min="7171" max="7173" width="12.875" style="1803" customWidth="1"/>
    <col min="7174" max="7174" width="47.5" style="1803" customWidth="1"/>
    <col min="7175" max="7175" width="13" style="1803" customWidth="1"/>
    <col min="7176" max="7177" width="8.875" style="1803"/>
    <col min="7178" max="7178" width="5.75" style="1803" customWidth="1"/>
    <col min="7179" max="7179" width="11.75" style="1803" customWidth="1"/>
    <col min="7180" max="7181" width="10.75" style="1803" customWidth="1"/>
    <col min="7182" max="7182" width="10" style="1803" customWidth="1"/>
    <col min="7183" max="7184" width="10.5" style="1803" customWidth="1"/>
    <col min="7185" max="7185" width="10" style="1803" customWidth="1"/>
    <col min="7186" max="7186" width="10.125" style="1803" customWidth="1"/>
    <col min="7187" max="7187" width="10" style="1803" customWidth="1"/>
    <col min="7188" max="7188" width="26.125" style="1803" customWidth="1"/>
    <col min="7189" max="7424" width="8.875" style="1803"/>
    <col min="7425" max="7425" width="9.5" style="1803" customWidth="1"/>
    <col min="7426" max="7426" width="8.875" style="1803"/>
    <col min="7427" max="7429" width="12.875" style="1803" customWidth="1"/>
    <col min="7430" max="7430" width="47.5" style="1803" customWidth="1"/>
    <col min="7431" max="7431" width="13" style="1803" customWidth="1"/>
    <col min="7432" max="7433" width="8.875" style="1803"/>
    <col min="7434" max="7434" width="5.75" style="1803" customWidth="1"/>
    <col min="7435" max="7435" width="11.75" style="1803" customWidth="1"/>
    <col min="7436" max="7437" width="10.75" style="1803" customWidth="1"/>
    <col min="7438" max="7438" width="10" style="1803" customWidth="1"/>
    <col min="7439" max="7440" width="10.5" style="1803" customWidth="1"/>
    <col min="7441" max="7441" width="10" style="1803" customWidth="1"/>
    <col min="7442" max="7442" width="10.125" style="1803" customWidth="1"/>
    <col min="7443" max="7443" width="10" style="1803" customWidth="1"/>
    <col min="7444" max="7444" width="26.125" style="1803" customWidth="1"/>
    <col min="7445" max="7680" width="8.875" style="1803"/>
    <col min="7681" max="7681" width="9.5" style="1803" customWidth="1"/>
    <col min="7682" max="7682" width="8.875" style="1803"/>
    <col min="7683" max="7685" width="12.875" style="1803" customWidth="1"/>
    <col min="7686" max="7686" width="47.5" style="1803" customWidth="1"/>
    <col min="7687" max="7687" width="13" style="1803" customWidth="1"/>
    <col min="7688" max="7689" width="8.875" style="1803"/>
    <col min="7690" max="7690" width="5.75" style="1803" customWidth="1"/>
    <col min="7691" max="7691" width="11.75" style="1803" customWidth="1"/>
    <col min="7692" max="7693" width="10.75" style="1803" customWidth="1"/>
    <col min="7694" max="7694" width="10" style="1803" customWidth="1"/>
    <col min="7695" max="7696" width="10.5" style="1803" customWidth="1"/>
    <col min="7697" max="7697" width="10" style="1803" customWidth="1"/>
    <col min="7698" max="7698" width="10.125" style="1803" customWidth="1"/>
    <col min="7699" max="7699" width="10" style="1803" customWidth="1"/>
    <col min="7700" max="7700" width="26.125" style="1803" customWidth="1"/>
    <col min="7701" max="7936" width="8.875" style="1803"/>
    <col min="7937" max="7937" width="9.5" style="1803" customWidth="1"/>
    <col min="7938" max="7938" width="8.875" style="1803"/>
    <col min="7939" max="7941" width="12.875" style="1803" customWidth="1"/>
    <col min="7942" max="7942" width="47.5" style="1803" customWidth="1"/>
    <col min="7943" max="7943" width="13" style="1803" customWidth="1"/>
    <col min="7944" max="7945" width="8.875" style="1803"/>
    <col min="7946" max="7946" width="5.75" style="1803" customWidth="1"/>
    <col min="7947" max="7947" width="11.75" style="1803" customWidth="1"/>
    <col min="7948" max="7949" width="10.75" style="1803" customWidth="1"/>
    <col min="7950" max="7950" width="10" style="1803" customWidth="1"/>
    <col min="7951" max="7952" width="10.5" style="1803" customWidth="1"/>
    <col min="7953" max="7953" width="10" style="1803" customWidth="1"/>
    <col min="7954" max="7954" width="10.125" style="1803" customWidth="1"/>
    <col min="7955" max="7955" width="10" style="1803" customWidth="1"/>
    <col min="7956" max="7956" width="26.125" style="1803" customWidth="1"/>
    <col min="7957" max="8192" width="8.875" style="1803"/>
    <col min="8193" max="8193" width="9.5" style="1803" customWidth="1"/>
    <col min="8194" max="8194" width="8.875" style="1803"/>
    <col min="8195" max="8197" width="12.875" style="1803" customWidth="1"/>
    <col min="8198" max="8198" width="47.5" style="1803" customWidth="1"/>
    <col min="8199" max="8199" width="13" style="1803" customWidth="1"/>
    <col min="8200" max="8201" width="8.875" style="1803"/>
    <col min="8202" max="8202" width="5.75" style="1803" customWidth="1"/>
    <col min="8203" max="8203" width="11.75" style="1803" customWidth="1"/>
    <col min="8204" max="8205" width="10.75" style="1803" customWidth="1"/>
    <col min="8206" max="8206" width="10" style="1803" customWidth="1"/>
    <col min="8207" max="8208" width="10.5" style="1803" customWidth="1"/>
    <col min="8209" max="8209" width="10" style="1803" customWidth="1"/>
    <col min="8210" max="8210" width="10.125" style="1803" customWidth="1"/>
    <col min="8211" max="8211" width="10" style="1803" customWidth="1"/>
    <col min="8212" max="8212" width="26.125" style="1803" customWidth="1"/>
    <col min="8213" max="8448" width="8.875" style="1803"/>
    <col min="8449" max="8449" width="9.5" style="1803" customWidth="1"/>
    <col min="8450" max="8450" width="8.875" style="1803"/>
    <col min="8451" max="8453" width="12.875" style="1803" customWidth="1"/>
    <col min="8454" max="8454" width="47.5" style="1803" customWidth="1"/>
    <col min="8455" max="8455" width="13" style="1803" customWidth="1"/>
    <col min="8456" max="8457" width="8.875" style="1803"/>
    <col min="8458" max="8458" width="5.75" style="1803" customWidth="1"/>
    <col min="8459" max="8459" width="11.75" style="1803" customWidth="1"/>
    <col min="8460" max="8461" width="10.75" style="1803" customWidth="1"/>
    <col min="8462" max="8462" width="10" style="1803" customWidth="1"/>
    <col min="8463" max="8464" width="10.5" style="1803" customWidth="1"/>
    <col min="8465" max="8465" width="10" style="1803" customWidth="1"/>
    <col min="8466" max="8466" width="10.125" style="1803" customWidth="1"/>
    <col min="8467" max="8467" width="10" style="1803" customWidth="1"/>
    <col min="8468" max="8468" width="26.125" style="1803" customWidth="1"/>
    <col min="8469" max="8704" width="8.875" style="1803"/>
    <col min="8705" max="8705" width="9.5" style="1803" customWidth="1"/>
    <col min="8706" max="8706" width="8.875" style="1803"/>
    <col min="8707" max="8709" width="12.875" style="1803" customWidth="1"/>
    <col min="8710" max="8710" width="47.5" style="1803" customWidth="1"/>
    <col min="8711" max="8711" width="13" style="1803" customWidth="1"/>
    <col min="8712" max="8713" width="8.875" style="1803"/>
    <col min="8714" max="8714" width="5.75" style="1803" customWidth="1"/>
    <col min="8715" max="8715" width="11.75" style="1803" customWidth="1"/>
    <col min="8716" max="8717" width="10.75" style="1803" customWidth="1"/>
    <col min="8718" max="8718" width="10" style="1803" customWidth="1"/>
    <col min="8719" max="8720" width="10.5" style="1803" customWidth="1"/>
    <col min="8721" max="8721" width="10" style="1803" customWidth="1"/>
    <col min="8722" max="8722" width="10.125" style="1803" customWidth="1"/>
    <col min="8723" max="8723" width="10" style="1803" customWidth="1"/>
    <col min="8724" max="8724" width="26.125" style="1803" customWidth="1"/>
    <col min="8725" max="8960" width="8.875" style="1803"/>
    <col min="8961" max="8961" width="9.5" style="1803" customWidth="1"/>
    <col min="8962" max="8962" width="8.875" style="1803"/>
    <col min="8963" max="8965" width="12.875" style="1803" customWidth="1"/>
    <col min="8966" max="8966" width="47.5" style="1803" customWidth="1"/>
    <col min="8967" max="8967" width="13" style="1803" customWidth="1"/>
    <col min="8968" max="8969" width="8.875" style="1803"/>
    <col min="8970" max="8970" width="5.75" style="1803" customWidth="1"/>
    <col min="8971" max="8971" width="11.75" style="1803" customWidth="1"/>
    <col min="8972" max="8973" width="10.75" style="1803" customWidth="1"/>
    <col min="8974" max="8974" width="10" style="1803" customWidth="1"/>
    <col min="8975" max="8976" width="10.5" style="1803" customWidth="1"/>
    <col min="8977" max="8977" width="10" style="1803" customWidth="1"/>
    <col min="8978" max="8978" width="10.125" style="1803" customWidth="1"/>
    <col min="8979" max="8979" width="10" style="1803" customWidth="1"/>
    <col min="8980" max="8980" width="26.125" style="1803" customWidth="1"/>
    <col min="8981" max="9216" width="8.875" style="1803"/>
    <col min="9217" max="9217" width="9.5" style="1803" customWidth="1"/>
    <col min="9218" max="9218" width="8.875" style="1803"/>
    <col min="9219" max="9221" width="12.875" style="1803" customWidth="1"/>
    <col min="9222" max="9222" width="47.5" style="1803" customWidth="1"/>
    <col min="9223" max="9223" width="13" style="1803" customWidth="1"/>
    <col min="9224" max="9225" width="8.875" style="1803"/>
    <col min="9226" max="9226" width="5.75" style="1803" customWidth="1"/>
    <col min="9227" max="9227" width="11.75" style="1803" customWidth="1"/>
    <col min="9228" max="9229" width="10.75" style="1803" customWidth="1"/>
    <col min="9230" max="9230" width="10" style="1803" customWidth="1"/>
    <col min="9231" max="9232" width="10.5" style="1803" customWidth="1"/>
    <col min="9233" max="9233" width="10" style="1803" customWidth="1"/>
    <col min="9234" max="9234" width="10.125" style="1803" customWidth="1"/>
    <col min="9235" max="9235" width="10" style="1803" customWidth="1"/>
    <col min="9236" max="9236" width="26.125" style="1803" customWidth="1"/>
    <col min="9237" max="9472" width="8.875" style="1803"/>
    <col min="9473" max="9473" width="9.5" style="1803" customWidth="1"/>
    <col min="9474" max="9474" width="8.875" style="1803"/>
    <col min="9475" max="9477" width="12.875" style="1803" customWidth="1"/>
    <col min="9478" max="9478" width="47.5" style="1803" customWidth="1"/>
    <col min="9479" max="9479" width="13" style="1803" customWidth="1"/>
    <col min="9480" max="9481" width="8.875" style="1803"/>
    <col min="9482" max="9482" width="5.75" style="1803" customWidth="1"/>
    <col min="9483" max="9483" width="11.75" style="1803" customWidth="1"/>
    <col min="9484" max="9485" width="10.75" style="1803" customWidth="1"/>
    <col min="9486" max="9486" width="10" style="1803" customWidth="1"/>
    <col min="9487" max="9488" width="10.5" style="1803" customWidth="1"/>
    <col min="9489" max="9489" width="10" style="1803" customWidth="1"/>
    <col min="9490" max="9490" width="10.125" style="1803" customWidth="1"/>
    <col min="9491" max="9491" width="10" style="1803" customWidth="1"/>
    <col min="9492" max="9492" width="26.125" style="1803" customWidth="1"/>
    <col min="9493" max="9728" width="8.875" style="1803"/>
    <col min="9729" max="9729" width="9.5" style="1803" customWidth="1"/>
    <col min="9730" max="9730" width="8.875" style="1803"/>
    <col min="9731" max="9733" width="12.875" style="1803" customWidth="1"/>
    <col min="9734" max="9734" width="47.5" style="1803" customWidth="1"/>
    <col min="9735" max="9735" width="13" style="1803" customWidth="1"/>
    <col min="9736" max="9737" width="8.875" style="1803"/>
    <col min="9738" max="9738" width="5.75" style="1803" customWidth="1"/>
    <col min="9739" max="9739" width="11.75" style="1803" customWidth="1"/>
    <col min="9740" max="9741" width="10.75" style="1803" customWidth="1"/>
    <col min="9742" max="9742" width="10" style="1803" customWidth="1"/>
    <col min="9743" max="9744" width="10.5" style="1803" customWidth="1"/>
    <col min="9745" max="9745" width="10" style="1803" customWidth="1"/>
    <col min="9746" max="9746" width="10.125" style="1803" customWidth="1"/>
    <col min="9747" max="9747" width="10" style="1803" customWidth="1"/>
    <col min="9748" max="9748" width="26.125" style="1803" customWidth="1"/>
    <col min="9749" max="9984" width="8.875" style="1803"/>
    <col min="9985" max="9985" width="9.5" style="1803" customWidth="1"/>
    <col min="9986" max="9986" width="8.875" style="1803"/>
    <col min="9987" max="9989" width="12.875" style="1803" customWidth="1"/>
    <col min="9990" max="9990" width="47.5" style="1803" customWidth="1"/>
    <col min="9991" max="9991" width="13" style="1803" customWidth="1"/>
    <col min="9992" max="9993" width="8.875" style="1803"/>
    <col min="9994" max="9994" width="5.75" style="1803" customWidth="1"/>
    <col min="9995" max="9995" width="11.75" style="1803" customWidth="1"/>
    <col min="9996" max="9997" width="10.75" style="1803" customWidth="1"/>
    <col min="9998" max="9998" width="10" style="1803" customWidth="1"/>
    <col min="9999" max="10000" width="10.5" style="1803" customWidth="1"/>
    <col min="10001" max="10001" width="10" style="1803" customWidth="1"/>
    <col min="10002" max="10002" width="10.125" style="1803" customWidth="1"/>
    <col min="10003" max="10003" width="10" style="1803" customWidth="1"/>
    <col min="10004" max="10004" width="26.125" style="1803" customWidth="1"/>
    <col min="10005" max="10240" width="8.875" style="1803"/>
    <col min="10241" max="10241" width="9.5" style="1803" customWidth="1"/>
    <col min="10242" max="10242" width="8.875" style="1803"/>
    <col min="10243" max="10245" width="12.875" style="1803" customWidth="1"/>
    <col min="10246" max="10246" width="47.5" style="1803" customWidth="1"/>
    <col min="10247" max="10247" width="13" style="1803" customWidth="1"/>
    <col min="10248" max="10249" width="8.875" style="1803"/>
    <col min="10250" max="10250" width="5.75" style="1803" customWidth="1"/>
    <col min="10251" max="10251" width="11.75" style="1803" customWidth="1"/>
    <col min="10252" max="10253" width="10.75" style="1803" customWidth="1"/>
    <col min="10254" max="10254" width="10" style="1803" customWidth="1"/>
    <col min="10255" max="10256" width="10.5" style="1803" customWidth="1"/>
    <col min="10257" max="10257" width="10" style="1803" customWidth="1"/>
    <col min="10258" max="10258" width="10.125" style="1803" customWidth="1"/>
    <col min="10259" max="10259" width="10" style="1803" customWidth="1"/>
    <col min="10260" max="10260" width="26.125" style="1803" customWidth="1"/>
    <col min="10261" max="10496" width="8.875" style="1803"/>
    <col min="10497" max="10497" width="9.5" style="1803" customWidth="1"/>
    <col min="10498" max="10498" width="8.875" style="1803"/>
    <col min="10499" max="10501" width="12.875" style="1803" customWidth="1"/>
    <col min="10502" max="10502" width="47.5" style="1803" customWidth="1"/>
    <col min="10503" max="10503" width="13" style="1803" customWidth="1"/>
    <col min="10504" max="10505" width="8.875" style="1803"/>
    <col min="10506" max="10506" width="5.75" style="1803" customWidth="1"/>
    <col min="10507" max="10507" width="11.75" style="1803" customWidth="1"/>
    <col min="10508" max="10509" width="10.75" style="1803" customWidth="1"/>
    <col min="10510" max="10510" width="10" style="1803" customWidth="1"/>
    <col min="10511" max="10512" width="10.5" style="1803" customWidth="1"/>
    <col min="10513" max="10513" width="10" style="1803" customWidth="1"/>
    <col min="10514" max="10514" width="10.125" style="1803" customWidth="1"/>
    <col min="10515" max="10515" width="10" style="1803" customWidth="1"/>
    <col min="10516" max="10516" width="26.125" style="1803" customWidth="1"/>
    <col min="10517" max="10752" width="8.875" style="1803"/>
    <col min="10753" max="10753" width="9.5" style="1803" customWidth="1"/>
    <col min="10754" max="10754" width="8.875" style="1803"/>
    <col min="10755" max="10757" width="12.875" style="1803" customWidth="1"/>
    <col min="10758" max="10758" width="47.5" style="1803" customWidth="1"/>
    <col min="10759" max="10759" width="13" style="1803" customWidth="1"/>
    <col min="10760" max="10761" width="8.875" style="1803"/>
    <col min="10762" max="10762" width="5.75" style="1803" customWidth="1"/>
    <col min="10763" max="10763" width="11.75" style="1803" customWidth="1"/>
    <col min="10764" max="10765" width="10.75" style="1803" customWidth="1"/>
    <col min="10766" max="10766" width="10" style="1803" customWidth="1"/>
    <col min="10767" max="10768" width="10.5" style="1803" customWidth="1"/>
    <col min="10769" max="10769" width="10" style="1803" customWidth="1"/>
    <col min="10770" max="10770" width="10.125" style="1803" customWidth="1"/>
    <col min="10771" max="10771" width="10" style="1803" customWidth="1"/>
    <col min="10772" max="10772" width="26.125" style="1803" customWidth="1"/>
    <col min="10773" max="11008" width="8.875" style="1803"/>
    <col min="11009" max="11009" width="9.5" style="1803" customWidth="1"/>
    <col min="11010" max="11010" width="8.875" style="1803"/>
    <col min="11011" max="11013" width="12.875" style="1803" customWidth="1"/>
    <col min="11014" max="11014" width="47.5" style="1803" customWidth="1"/>
    <col min="11015" max="11015" width="13" style="1803" customWidth="1"/>
    <col min="11016" max="11017" width="8.875" style="1803"/>
    <col min="11018" max="11018" width="5.75" style="1803" customWidth="1"/>
    <col min="11019" max="11019" width="11.75" style="1803" customWidth="1"/>
    <col min="11020" max="11021" width="10.75" style="1803" customWidth="1"/>
    <col min="11022" max="11022" width="10" style="1803" customWidth="1"/>
    <col min="11023" max="11024" width="10.5" style="1803" customWidth="1"/>
    <col min="11025" max="11025" width="10" style="1803" customWidth="1"/>
    <col min="11026" max="11026" width="10.125" style="1803" customWidth="1"/>
    <col min="11027" max="11027" width="10" style="1803" customWidth="1"/>
    <col min="11028" max="11028" width="26.125" style="1803" customWidth="1"/>
    <col min="11029" max="11264" width="8.875" style="1803"/>
    <col min="11265" max="11265" width="9.5" style="1803" customWidth="1"/>
    <col min="11266" max="11266" width="8.875" style="1803"/>
    <col min="11267" max="11269" width="12.875" style="1803" customWidth="1"/>
    <col min="11270" max="11270" width="47.5" style="1803" customWidth="1"/>
    <col min="11271" max="11271" width="13" style="1803" customWidth="1"/>
    <col min="11272" max="11273" width="8.875" style="1803"/>
    <col min="11274" max="11274" width="5.75" style="1803" customWidth="1"/>
    <col min="11275" max="11275" width="11.75" style="1803" customWidth="1"/>
    <col min="11276" max="11277" width="10.75" style="1803" customWidth="1"/>
    <col min="11278" max="11278" width="10" style="1803" customWidth="1"/>
    <col min="11279" max="11280" width="10.5" style="1803" customWidth="1"/>
    <col min="11281" max="11281" width="10" style="1803" customWidth="1"/>
    <col min="11282" max="11282" width="10.125" style="1803" customWidth="1"/>
    <col min="11283" max="11283" width="10" style="1803" customWidth="1"/>
    <col min="11284" max="11284" width="26.125" style="1803" customWidth="1"/>
    <col min="11285" max="11520" width="8.875" style="1803"/>
    <col min="11521" max="11521" width="9.5" style="1803" customWidth="1"/>
    <col min="11522" max="11522" width="8.875" style="1803"/>
    <col min="11523" max="11525" width="12.875" style="1803" customWidth="1"/>
    <col min="11526" max="11526" width="47.5" style="1803" customWidth="1"/>
    <col min="11527" max="11527" width="13" style="1803" customWidth="1"/>
    <col min="11528" max="11529" width="8.875" style="1803"/>
    <col min="11530" max="11530" width="5.75" style="1803" customWidth="1"/>
    <col min="11531" max="11531" width="11.75" style="1803" customWidth="1"/>
    <col min="11532" max="11533" width="10.75" style="1803" customWidth="1"/>
    <col min="11534" max="11534" width="10" style="1803" customWidth="1"/>
    <col min="11535" max="11536" width="10.5" style="1803" customWidth="1"/>
    <col min="11537" max="11537" width="10" style="1803" customWidth="1"/>
    <col min="11538" max="11538" width="10.125" style="1803" customWidth="1"/>
    <col min="11539" max="11539" width="10" style="1803" customWidth="1"/>
    <col min="11540" max="11540" width="26.125" style="1803" customWidth="1"/>
    <col min="11541" max="11776" width="8.875" style="1803"/>
    <col min="11777" max="11777" width="9.5" style="1803" customWidth="1"/>
    <col min="11778" max="11778" width="8.875" style="1803"/>
    <col min="11779" max="11781" width="12.875" style="1803" customWidth="1"/>
    <col min="11782" max="11782" width="47.5" style="1803" customWidth="1"/>
    <col min="11783" max="11783" width="13" style="1803" customWidth="1"/>
    <col min="11784" max="11785" width="8.875" style="1803"/>
    <col min="11786" max="11786" width="5.75" style="1803" customWidth="1"/>
    <col min="11787" max="11787" width="11.75" style="1803" customWidth="1"/>
    <col min="11788" max="11789" width="10.75" style="1803" customWidth="1"/>
    <col min="11790" max="11790" width="10" style="1803" customWidth="1"/>
    <col min="11791" max="11792" width="10.5" style="1803" customWidth="1"/>
    <col min="11793" max="11793" width="10" style="1803" customWidth="1"/>
    <col min="11794" max="11794" width="10.125" style="1803" customWidth="1"/>
    <col min="11795" max="11795" width="10" style="1803" customWidth="1"/>
    <col min="11796" max="11796" width="26.125" style="1803" customWidth="1"/>
    <col min="11797" max="12032" width="8.875" style="1803"/>
    <col min="12033" max="12033" width="9.5" style="1803" customWidth="1"/>
    <col min="12034" max="12034" width="8.875" style="1803"/>
    <col min="12035" max="12037" width="12.875" style="1803" customWidth="1"/>
    <col min="12038" max="12038" width="47.5" style="1803" customWidth="1"/>
    <col min="12039" max="12039" width="13" style="1803" customWidth="1"/>
    <col min="12040" max="12041" width="8.875" style="1803"/>
    <col min="12042" max="12042" width="5.75" style="1803" customWidth="1"/>
    <col min="12043" max="12043" width="11.75" style="1803" customWidth="1"/>
    <col min="12044" max="12045" width="10.75" style="1803" customWidth="1"/>
    <col min="12046" max="12046" width="10" style="1803" customWidth="1"/>
    <col min="12047" max="12048" width="10.5" style="1803" customWidth="1"/>
    <col min="12049" max="12049" width="10" style="1803" customWidth="1"/>
    <col min="12050" max="12050" width="10.125" style="1803" customWidth="1"/>
    <col min="12051" max="12051" width="10" style="1803" customWidth="1"/>
    <col min="12052" max="12052" width="26.125" style="1803" customWidth="1"/>
    <col min="12053" max="12288" width="8.875" style="1803"/>
    <col min="12289" max="12289" width="9.5" style="1803" customWidth="1"/>
    <col min="12290" max="12290" width="8.875" style="1803"/>
    <col min="12291" max="12293" width="12.875" style="1803" customWidth="1"/>
    <col min="12294" max="12294" width="47.5" style="1803" customWidth="1"/>
    <col min="12295" max="12295" width="13" style="1803" customWidth="1"/>
    <col min="12296" max="12297" width="8.875" style="1803"/>
    <col min="12298" max="12298" width="5.75" style="1803" customWidth="1"/>
    <col min="12299" max="12299" width="11.75" style="1803" customWidth="1"/>
    <col min="12300" max="12301" width="10.75" style="1803" customWidth="1"/>
    <col min="12302" max="12302" width="10" style="1803" customWidth="1"/>
    <col min="12303" max="12304" width="10.5" style="1803" customWidth="1"/>
    <col min="12305" max="12305" width="10" style="1803" customWidth="1"/>
    <col min="12306" max="12306" width="10.125" style="1803" customWidth="1"/>
    <col min="12307" max="12307" width="10" style="1803" customWidth="1"/>
    <col min="12308" max="12308" width="26.125" style="1803" customWidth="1"/>
    <col min="12309" max="12544" width="8.875" style="1803"/>
    <col min="12545" max="12545" width="9.5" style="1803" customWidth="1"/>
    <col min="12546" max="12546" width="8.875" style="1803"/>
    <col min="12547" max="12549" width="12.875" style="1803" customWidth="1"/>
    <col min="12550" max="12550" width="47.5" style="1803" customWidth="1"/>
    <col min="12551" max="12551" width="13" style="1803" customWidth="1"/>
    <col min="12552" max="12553" width="8.875" style="1803"/>
    <col min="12554" max="12554" width="5.75" style="1803" customWidth="1"/>
    <col min="12555" max="12555" width="11.75" style="1803" customWidth="1"/>
    <col min="12556" max="12557" width="10.75" style="1803" customWidth="1"/>
    <col min="12558" max="12558" width="10" style="1803" customWidth="1"/>
    <col min="12559" max="12560" width="10.5" style="1803" customWidth="1"/>
    <col min="12561" max="12561" width="10" style="1803" customWidth="1"/>
    <col min="12562" max="12562" width="10.125" style="1803" customWidth="1"/>
    <col min="12563" max="12563" width="10" style="1803" customWidth="1"/>
    <col min="12564" max="12564" width="26.125" style="1803" customWidth="1"/>
    <col min="12565" max="12800" width="8.875" style="1803"/>
    <col min="12801" max="12801" width="9.5" style="1803" customWidth="1"/>
    <col min="12802" max="12802" width="8.875" style="1803"/>
    <col min="12803" max="12805" width="12.875" style="1803" customWidth="1"/>
    <col min="12806" max="12806" width="47.5" style="1803" customWidth="1"/>
    <col min="12807" max="12807" width="13" style="1803" customWidth="1"/>
    <col min="12808" max="12809" width="8.875" style="1803"/>
    <col min="12810" max="12810" width="5.75" style="1803" customWidth="1"/>
    <col min="12811" max="12811" width="11.75" style="1803" customWidth="1"/>
    <col min="12812" max="12813" width="10.75" style="1803" customWidth="1"/>
    <col min="12814" max="12814" width="10" style="1803" customWidth="1"/>
    <col min="12815" max="12816" width="10.5" style="1803" customWidth="1"/>
    <col min="12817" max="12817" width="10" style="1803" customWidth="1"/>
    <col min="12818" max="12818" width="10.125" style="1803" customWidth="1"/>
    <col min="12819" max="12819" width="10" style="1803" customWidth="1"/>
    <col min="12820" max="12820" width="26.125" style="1803" customWidth="1"/>
    <col min="12821" max="13056" width="8.875" style="1803"/>
    <col min="13057" max="13057" width="9.5" style="1803" customWidth="1"/>
    <col min="13058" max="13058" width="8.875" style="1803"/>
    <col min="13059" max="13061" width="12.875" style="1803" customWidth="1"/>
    <col min="13062" max="13062" width="47.5" style="1803" customWidth="1"/>
    <col min="13063" max="13063" width="13" style="1803" customWidth="1"/>
    <col min="13064" max="13065" width="8.875" style="1803"/>
    <col min="13066" max="13066" width="5.75" style="1803" customWidth="1"/>
    <col min="13067" max="13067" width="11.75" style="1803" customWidth="1"/>
    <col min="13068" max="13069" width="10.75" style="1803" customWidth="1"/>
    <col min="13070" max="13070" width="10" style="1803" customWidth="1"/>
    <col min="13071" max="13072" width="10.5" style="1803" customWidth="1"/>
    <col min="13073" max="13073" width="10" style="1803" customWidth="1"/>
    <col min="13074" max="13074" width="10.125" style="1803" customWidth="1"/>
    <col min="13075" max="13075" width="10" style="1803" customWidth="1"/>
    <col min="13076" max="13076" width="26.125" style="1803" customWidth="1"/>
    <col min="13077" max="13312" width="8.875" style="1803"/>
    <col min="13313" max="13313" width="9.5" style="1803" customWidth="1"/>
    <col min="13314" max="13314" width="8.875" style="1803"/>
    <col min="13315" max="13317" width="12.875" style="1803" customWidth="1"/>
    <col min="13318" max="13318" width="47.5" style="1803" customWidth="1"/>
    <col min="13319" max="13319" width="13" style="1803" customWidth="1"/>
    <col min="13320" max="13321" width="8.875" style="1803"/>
    <col min="13322" max="13322" width="5.75" style="1803" customWidth="1"/>
    <col min="13323" max="13323" width="11.75" style="1803" customWidth="1"/>
    <col min="13324" max="13325" width="10.75" style="1803" customWidth="1"/>
    <col min="13326" max="13326" width="10" style="1803" customWidth="1"/>
    <col min="13327" max="13328" width="10.5" style="1803" customWidth="1"/>
    <col min="13329" max="13329" width="10" style="1803" customWidth="1"/>
    <col min="13330" max="13330" width="10.125" style="1803" customWidth="1"/>
    <col min="13331" max="13331" width="10" style="1803" customWidth="1"/>
    <col min="13332" max="13332" width="26.125" style="1803" customWidth="1"/>
    <col min="13333" max="13568" width="8.875" style="1803"/>
    <col min="13569" max="13569" width="9.5" style="1803" customWidth="1"/>
    <col min="13570" max="13570" width="8.875" style="1803"/>
    <col min="13571" max="13573" width="12.875" style="1803" customWidth="1"/>
    <col min="13574" max="13574" width="47.5" style="1803" customWidth="1"/>
    <col min="13575" max="13575" width="13" style="1803" customWidth="1"/>
    <col min="13576" max="13577" width="8.875" style="1803"/>
    <col min="13578" max="13578" width="5.75" style="1803" customWidth="1"/>
    <col min="13579" max="13579" width="11.75" style="1803" customWidth="1"/>
    <col min="13580" max="13581" width="10.75" style="1803" customWidth="1"/>
    <col min="13582" max="13582" width="10" style="1803" customWidth="1"/>
    <col min="13583" max="13584" width="10.5" style="1803" customWidth="1"/>
    <col min="13585" max="13585" width="10" style="1803" customWidth="1"/>
    <col min="13586" max="13586" width="10.125" style="1803" customWidth="1"/>
    <col min="13587" max="13587" width="10" style="1803" customWidth="1"/>
    <col min="13588" max="13588" width="26.125" style="1803" customWidth="1"/>
    <col min="13589" max="13824" width="8.875" style="1803"/>
    <col min="13825" max="13825" width="9.5" style="1803" customWidth="1"/>
    <col min="13826" max="13826" width="8.875" style="1803"/>
    <col min="13827" max="13829" width="12.875" style="1803" customWidth="1"/>
    <col min="13830" max="13830" width="47.5" style="1803" customWidth="1"/>
    <col min="13831" max="13831" width="13" style="1803" customWidth="1"/>
    <col min="13832" max="13833" width="8.875" style="1803"/>
    <col min="13834" max="13834" width="5.75" style="1803" customWidth="1"/>
    <col min="13835" max="13835" width="11.75" style="1803" customWidth="1"/>
    <col min="13836" max="13837" width="10.75" style="1803" customWidth="1"/>
    <col min="13838" max="13838" width="10" style="1803" customWidth="1"/>
    <col min="13839" max="13840" width="10.5" style="1803" customWidth="1"/>
    <col min="13841" max="13841" width="10" style="1803" customWidth="1"/>
    <col min="13842" max="13842" width="10.125" style="1803" customWidth="1"/>
    <col min="13843" max="13843" width="10" style="1803" customWidth="1"/>
    <col min="13844" max="13844" width="26.125" style="1803" customWidth="1"/>
    <col min="13845" max="14080" width="8.875" style="1803"/>
    <col min="14081" max="14081" width="9.5" style="1803" customWidth="1"/>
    <col min="14082" max="14082" width="8.875" style="1803"/>
    <col min="14083" max="14085" width="12.875" style="1803" customWidth="1"/>
    <col min="14086" max="14086" width="47.5" style="1803" customWidth="1"/>
    <col min="14087" max="14087" width="13" style="1803" customWidth="1"/>
    <col min="14088" max="14089" width="8.875" style="1803"/>
    <col min="14090" max="14090" width="5.75" style="1803" customWidth="1"/>
    <col min="14091" max="14091" width="11.75" style="1803" customWidth="1"/>
    <col min="14092" max="14093" width="10.75" style="1803" customWidth="1"/>
    <col min="14094" max="14094" width="10" style="1803" customWidth="1"/>
    <col min="14095" max="14096" width="10.5" style="1803" customWidth="1"/>
    <col min="14097" max="14097" width="10" style="1803" customWidth="1"/>
    <col min="14098" max="14098" width="10.125" style="1803" customWidth="1"/>
    <col min="14099" max="14099" width="10" style="1803" customWidth="1"/>
    <col min="14100" max="14100" width="26.125" style="1803" customWidth="1"/>
    <col min="14101" max="14336" width="8.875" style="1803"/>
    <col min="14337" max="14337" width="9.5" style="1803" customWidth="1"/>
    <col min="14338" max="14338" width="8.875" style="1803"/>
    <col min="14339" max="14341" width="12.875" style="1803" customWidth="1"/>
    <col min="14342" max="14342" width="47.5" style="1803" customWidth="1"/>
    <col min="14343" max="14343" width="13" style="1803" customWidth="1"/>
    <col min="14344" max="14345" width="8.875" style="1803"/>
    <col min="14346" max="14346" width="5.75" style="1803" customWidth="1"/>
    <col min="14347" max="14347" width="11.75" style="1803" customWidth="1"/>
    <col min="14348" max="14349" width="10.75" style="1803" customWidth="1"/>
    <col min="14350" max="14350" width="10" style="1803" customWidth="1"/>
    <col min="14351" max="14352" width="10.5" style="1803" customWidth="1"/>
    <col min="14353" max="14353" width="10" style="1803" customWidth="1"/>
    <col min="14354" max="14354" width="10.125" style="1803" customWidth="1"/>
    <col min="14355" max="14355" width="10" style="1803" customWidth="1"/>
    <col min="14356" max="14356" width="26.125" style="1803" customWidth="1"/>
    <col min="14357" max="14592" width="8.875" style="1803"/>
    <col min="14593" max="14593" width="9.5" style="1803" customWidth="1"/>
    <col min="14594" max="14594" width="8.875" style="1803"/>
    <col min="14595" max="14597" width="12.875" style="1803" customWidth="1"/>
    <col min="14598" max="14598" width="47.5" style="1803" customWidth="1"/>
    <col min="14599" max="14599" width="13" style="1803" customWidth="1"/>
    <col min="14600" max="14601" width="8.875" style="1803"/>
    <col min="14602" max="14602" width="5.75" style="1803" customWidth="1"/>
    <col min="14603" max="14603" width="11.75" style="1803" customWidth="1"/>
    <col min="14604" max="14605" width="10.75" style="1803" customWidth="1"/>
    <col min="14606" max="14606" width="10" style="1803" customWidth="1"/>
    <col min="14607" max="14608" width="10.5" style="1803" customWidth="1"/>
    <col min="14609" max="14609" width="10" style="1803" customWidth="1"/>
    <col min="14610" max="14610" width="10.125" style="1803" customWidth="1"/>
    <col min="14611" max="14611" width="10" style="1803" customWidth="1"/>
    <col min="14612" max="14612" width="26.125" style="1803" customWidth="1"/>
    <col min="14613" max="14848" width="8.875" style="1803"/>
    <col min="14849" max="14849" width="9.5" style="1803" customWidth="1"/>
    <col min="14850" max="14850" width="8.875" style="1803"/>
    <col min="14851" max="14853" width="12.875" style="1803" customWidth="1"/>
    <col min="14854" max="14854" width="47.5" style="1803" customWidth="1"/>
    <col min="14855" max="14855" width="13" style="1803" customWidth="1"/>
    <col min="14856" max="14857" width="8.875" style="1803"/>
    <col min="14858" max="14858" width="5.75" style="1803" customWidth="1"/>
    <col min="14859" max="14859" width="11.75" style="1803" customWidth="1"/>
    <col min="14860" max="14861" width="10.75" style="1803" customWidth="1"/>
    <col min="14862" max="14862" width="10" style="1803" customWidth="1"/>
    <col min="14863" max="14864" width="10.5" style="1803" customWidth="1"/>
    <col min="14865" max="14865" width="10" style="1803" customWidth="1"/>
    <col min="14866" max="14866" width="10.125" style="1803" customWidth="1"/>
    <col min="14867" max="14867" width="10" style="1803" customWidth="1"/>
    <col min="14868" max="14868" width="26.125" style="1803" customWidth="1"/>
    <col min="14869" max="15104" width="8.875" style="1803"/>
    <col min="15105" max="15105" width="9.5" style="1803" customWidth="1"/>
    <col min="15106" max="15106" width="8.875" style="1803"/>
    <col min="15107" max="15109" width="12.875" style="1803" customWidth="1"/>
    <col min="15110" max="15110" width="47.5" style="1803" customWidth="1"/>
    <col min="15111" max="15111" width="13" style="1803" customWidth="1"/>
    <col min="15112" max="15113" width="8.875" style="1803"/>
    <col min="15114" max="15114" width="5.75" style="1803" customWidth="1"/>
    <col min="15115" max="15115" width="11.75" style="1803" customWidth="1"/>
    <col min="15116" max="15117" width="10.75" style="1803" customWidth="1"/>
    <col min="15118" max="15118" width="10" style="1803" customWidth="1"/>
    <col min="15119" max="15120" width="10.5" style="1803" customWidth="1"/>
    <col min="15121" max="15121" width="10" style="1803" customWidth="1"/>
    <col min="15122" max="15122" width="10.125" style="1803" customWidth="1"/>
    <col min="15123" max="15123" width="10" style="1803" customWidth="1"/>
    <col min="15124" max="15124" width="26.125" style="1803" customWidth="1"/>
    <col min="15125" max="15360" width="8.875" style="1803"/>
    <col min="15361" max="15361" width="9.5" style="1803" customWidth="1"/>
    <col min="15362" max="15362" width="8.875" style="1803"/>
    <col min="15363" max="15365" width="12.875" style="1803" customWidth="1"/>
    <col min="15366" max="15366" width="47.5" style="1803" customWidth="1"/>
    <col min="15367" max="15367" width="13" style="1803" customWidth="1"/>
    <col min="15368" max="15369" width="8.875" style="1803"/>
    <col min="15370" max="15370" width="5.75" style="1803" customWidth="1"/>
    <col min="15371" max="15371" width="11.75" style="1803" customWidth="1"/>
    <col min="15372" max="15373" width="10.75" style="1803" customWidth="1"/>
    <col min="15374" max="15374" width="10" style="1803" customWidth="1"/>
    <col min="15375" max="15376" width="10.5" style="1803" customWidth="1"/>
    <col min="15377" max="15377" width="10" style="1803" customWidth="1"/>
    <col min="15378" max="15378" width="10.125" style="1803" customWidth="1"/>
    <col min="15379" max="15379" width="10" style="1803" customWidth="1"/>
    <col min="15380" max="15380" width="26.125" style="1803" customWidth="1"/>
    <col min="15381" max="15616" width="8.875" style="1803"/>
    <col min="15617" max="15617" width="9.5" style="1803" customWidth="1"/>
    <col min="15618" max="15618" width="8.875" style="1803"/>
    <col min="15619" max="15621" width="12.875" style="1803" customWidth="1"/>
    <col min="15622" max="15622" width="47.5" style="1803" customWidth="1"/>
    <col min="15623" max="15623" width="13" style="1803" customWidth="1"/>
    <col min="15624" max="15625" width="8.875" style="1803"/>
    <col min="15626" max="15626" width="5.75" style="1803" customWidth="1"/>
    <col min="15627" max="15627" width="11.75" style="1803" customWidth="1"/>
    <col min="15628" max="15629" width="10.75" style="1803" customWidth="1"/>
    <col min="15630" max="15630" width="10" style="1803" customWidth="1"/>
    <col min="15631" max="15632" width="10.5" style="1803" customWidth="1"/>
    <col min="15633" max="15633" width="10" style="1803" customWidth="1"/>
    <col min="15634" max="15634" width="10.125" style="1803" customWidth="1"/>
    <col min="15635" max="15635" width="10" style="1803" customWidth="1"/>
    <col min="15636" max="15636" width="26.125" style="1803" customWidth="1"/>
    <col min="15637" max="15872" width="8.875" style="1803"/>
    <col min="15873" max="15873" width="9.5" style="1803" customWidth="1"/>
    <col min="15874" max="15874" width="8.875" style="1803"/>
    <col min="15875" max="15877" width="12.875" style="1803" customWidth="1"/>
    <col min="15878" max="15878" width="47.5" style="1803" customWidth="1"/>
    <col min="15879" max="15879" width="13" style="1803" customWidth="1"/>
    <col min="15880" max="15881" width="8.875" style="1803"/>
    <col min="15882" max="15882" width="5.75" style="1803" customWidth="1"/>
    <col min="15883" max="15883" width="11.75" style="1803" customWidth="1"/>
    <col min="15884" max="15885" width="10.75" style="1803" customWidth="1"/>
    <col min="15886" max="15886" width="10" style="1803" customWidth="1"/>
    <col min="15887" max="15888" width="10.5" style="1803" customWidth="1"/>
    <col min="15889" max="15889" width="10" style="1803" customWidth="1"/>
    <col min="15890" max="15890" width="10.125" style="1803" customWidth="1"/>
    <col min="15891" max="15891" width="10" style="1803" customWidth="1"/>
    <col min="15892" max="15892" width="26.125" style="1803" customWidth="1"/>
    <col min="15893" max="16128" width="8.875" style="1803"/>
    <col min="16129" max="16129" width="9.5" style="1803" customWidth="1"/>
    <col min="16130" max="16130" width="8.875" style="1803"/>
    <col min="16131" max="16133" width="12.875" style="1803" customWidth="1"/>
    <col min="16134" max="16134" width="47.5" style="1803" customWidth="1"/>
    <col min="16135" max="16135" width="13" style="1803" customWidth="1"/>
    <col min="16136" max="16137" width="8.875" style="1803"/>
    <col min="16138" max="16138" width="5.75" style="1803" customWidth="1"/>
    <col min="16139" max="16139" width="11.75" style="1803" customWidth="1"/>
    <col min="16140" max="16141" width="10.75" style="1803" customWidth="1"/>
    <col min="16142" max="16142" width="10" style="1803" customWidth="1"/>
    <col min="16143" max="16144" width="10.5" style="1803" customWidth="1"/>
    <col min="16145" max="16145" width="10" style="1803" customWidth="1"/>
    <col min="16146" max="16146" width="10.125" style="1803" customWidth="1"/>
    <col min="16147" max="16147" width="10" style="1803" customWidth="1"/>
    <col min="16148" max="16148" width="26.125" style="1803" customWidth="1"/>
    <col min="16149" max="16384" width="8.875" style="1803"/>
  </cols>
  <sheetData>
    <row r="1" ht="21" customHeight="1" spans="1:21">
      <c r="A1" s="1808" t="s">
        <v>1474</v>
      </c>
      <c r="B1" s="1809"/>
      <c r="C1" s="1810"/>
      <c r="D1" s="1810"/>
      <c r="E1" s="1811"/>
      <c r="F1" s="1812"/>
      <c r="G1" s="1813"/>
      <c r="J1" s="1920" t="s">
        <v>1475</v>
      </c>
      <c r="K1" s="1921"/>
      <c r="L1" s="1921"/>
      <c r="M1" s="1921"/>
      <c r="N1" s="1921"/>
      <c r="O1" s="1921"/>
      <c r="P1" s="1921"/>
      <c r="Q1" s="1921"/>
      <c r="R1" s="1969"/>
      <c r="S1" s="1970"/>
      <c r="T1" s="1970"/>
      <c r="U1" s="1970"/>
    </row>
    <row r="2" s="1801" customFormat="1" customHeight="1" spans="1:22">
      <c r="A2" s="1814" t="s">
        <v>1141</v>
      </c>
      <c r="B2" s="1815" t="e">
        <f>IF(D2="——",C40,C40+E2)</f>
        <v>#DIV/0!</v>
      </c>
      <c r="C2" s="1810" t="s">
        <v>1142</v>
      </c>
      <c r="D2" s="1816" t="s">
        <v>1476</v>
      </c>
      <c r="E2" s="1817"/>
      <c r="F2" s="1818"/>
      <c r="G2" s="1819"/>
      <c r="H2" s="1820"/>
      <c r="I2" s="1922"/>
      <c r="J2" s="1923" t="s">
        <v>1477</v>
      </c>
      <c r="K2" s="1924"/>
      <c r="L2" s="1925" t="s">
        <v>1478</v>
      </c>
      <c r="M2" s="1925" t="s">
        <v>1479</v>
      </c>
      <c r="N2" s="1925" t="s">
        <v>1480</v>
      </c>
      <c r="O2" s="1925" t="s">
        <v>1481</v>
      </c>
      <c r="P2" s="1925" t="s">
        <v>1482</v>
      </c>
      <c r="Q2" s="1971" t="s">
        <v>1483</v>
      </c>
      <c r="R2" s="1972" t="s">
        <v>1484</v>
      </c>
      <c r="S2" s="1970"/>
      <c r="T2" s="1970"/>
      <c r="U2" s="1970"/>
      <c r="V2" s="1922"/>
    </row>
    <row r="3" s="1801" customFormat="1" customHeight="1" spans="1:22">
      <c r="A3" s="1821" t="s">
        <v>1143</v>
      </c>
      <c r="B3" s="1822" t="e">
        <f>ROUND(B2*10000/B4,0)</f>
        <v>#DIV/0!</v>
      </c>
      <c r="C3" s="1810" t="s">
        <v>1144</v>
      </c>
      <c r="D3" s="1810"/>
      <c r="E3" s="1823"/>
      <c r="F3" s="1818"/>
      <c r="G3" s="1819"/>
      <c r="H3" s="1820"/>
      <c r="I3" s="1922"/>
      <c r="J3" s="1926" t="s">
        <v>1485</v>
      </c>
      <c r="K3" s="1927"/>
      <c r="L3" s="1928"/>
      <c r="M3" s="1928"/>
      <c r="N3" s="1928"/>
      <c r="O3" s="1928"/>
      <c r="P3" s="1928"/>
      <c r="Q3" s="1973"/>
      <c r="R3" s="1974">
        <f>SUM(L3:Q3)</f>
        <v>0</v>
      </c>
      <c r="S3" s="1970"/>
      <c r="T3" s="1970"/>
      <c r="U3" s="1970"/>
      <c r="V3" s="1922"/>
    </row>
    <row r="4" s="1801" customFormat="1" customHeight="1" spans="1:22">
      <c r="A4" s="1824" t="s">
        <v>1454</v>
      </c>
      <c r="B4" s="1825"/>
      <c r="C4" s="1810"/>
      <c r="D4" s="1810"/>
      <c r="E4" s="1823"/>
      <c r="F4" s="1818"/>
      <c r="G4" s="1819"/>
      <c r="H4" s="1820"/>
      <c r="I4" s="1922"/>
      <c r="J4" s="1926" t="s">
        <v>1486</v>
      </c>
      <c r="K4" s="1927"/>
      <c r="L4" s="1929"/>
      <c r="M4" s="1929"/>
      <c r="N4" s="1929"/>
      <c r="O4" s="1929"/>
      <c r="P4" s="1929"/>
      <c r="Q4" s="1975"/>
      <c r="R4" s="1976">
        <f>SUM(L4:Q4)</f>
        <v>0</v>
      </c>
      <c r="S4" s="1970"/>
      <c r="T4" s="1970"/>
      <c r="U4" s="1970"/>
      <c r="V4" s="1922"/>
    </row>
    <row r="5" s="1801" customFormat="1" customHeight="1" spans="1:22">
      <c r="A5" s="1826" t="s">
        <v>1487</v>
      </c>
      <c r="B5" s="1827"/>
      <c r="C5" s="1810"/>
      <c r="D5" s="1828"/>
      <c r="E5" s="1818"/>
      <c r="F5" s="1818"/>
      <c r="G5" s="1819"/>
      <c r="H5" s="1820"/>
      <c r="I5" s="1922"/>
      <c r="J5" s="1930" t="s">
        <v>1488</v>
      </c>
      <c r="K5" s="1931"/>
      <c r="L5" s="1931"/>
      <c r="M5" s="1932"/>
      <c r="N5" s="1932"/>
      <c r="O5" s="1932"/>
      <c r="P5" s="1932"/>
      <c r="Q5" s="1932"/>
      <c r="R5" s="1972">
        <f>SUM(R14,R19,R24,R25,R27,R28)</f>
        <v>0</v>
      </c>
      <c r="S5" s="1970"/>
      <c r="T5" s="1970" t="s">
        <v>1489</v>
      </c>
      <c r="U5" s="1970" t="e">
        <f>ROUND(R5*10000/365/R3,1)</f>
        <v>#DIV/0!</v>
      </c>
      <c r="V5" s="1922"/>
    </row>
    <row r="6" s="1801" customFormat="1" customHeight="1" spans="1:22">
      <c r="A6" s="1829" t="s">
        <v>1490</v>
      </c>
      <c r="B6" s="1830"/>
      <c r="C6" s="1831"/>
      <c r="D6" s="1832"/>
      <c r="E6" s="1833"/>
      <c r="F6" s="1834"/>
      <c r="G6" s="1835"/>
      <c r="H6" s="1820"/>
      <c r="I6" s="1922"/>
      <c r="J6" s="1933">
        <v>1</v>
      </c>
      <c r="K6" s="1934" t="s">
        <v>1491</v>
      </c>
      <c r="L6" s="1935" t="s">
        <v>1492</v>
      </c>
      <c r="M6" s="1936" t="s">
        <v>1493</v>
      </c>
      <c r="N6" s="1936" t="s">
        <v>1494</v>
      </c>
      <c r="O6" s="1936" t="s">
        <v>1495</v>
      </c>
      <c r="P6" s="1936" t="s">
        <v>1496</v>
      </c>
      <c r="Q6" s="1936" t="s">
        <v>1497</v>
      </c>
      <c r="R6" s="1974" t="s">
        <v>1498</v>
      </c>
      <c r="S6" s="1970"/>
      <c r="T6" s="1970" t="s">
        <v>1499</v>
      </c>
      <c r="U6" s="1970"/>
      <c r="V6" s="1922"/>
    </row>
    <row r="7" s="1801" customFormat="1" customHeight="1" spans="1:22">
      <c r="A7" s="1836" t="s">
        <v>1500</v>
      </c>
      <c r="B7" s="1837"/>
      <c r="C7" s="1838"/>
      <c r="D7" s="1839">
        <f>SUM(D9,D10,D11,D17,0)</f>
        <v>0</v>
      </c>
      <c r="E7" s="1840" t="e">
        <f>E9+E10+E11+E17</f>
        <v>#DIV/0!</v>
      </c>
      <c r="F7" s="1841"/>
      <c r="G7" s="1842"/>
      <c r="H7" s="1820"/>
      <c r="I7" s="1922"/>
      <c r="J7" s="1933"/>
      <c r="K7" s="1937"/>
      <c r="L7" s="1938" t="s">
        <v>1501</v>
      </c>
      <c r="M7" s="1939"/>
      <c r="N7" s="1825"/>
      <c r="O7" s="1940"/>
      <c r="P7" s="1940"/>
      <c r="Q7" s="1861">
        <v>365</v>
      </c>
      <c r="R7" s="1977">
        <f>ROUND(M7*N7*O7*P7*Q7/10000,0)</f>
        <v>0</v>
      </c>
      <c r="S7" s="1970"/>
      <c r="T7" s="1970" t="s">
        <v>1502</v>
      </c>
      <c r="U7" s="1970"/>
      <c r="V7" s="1922"/>
    </row>
    <row r="8" s="1801" customFormat="1" customHeight="1" spans="1:22">
      <c r="A8" s="1843" t="s">
        <v>1503</v>
      </c>
      <c r="B8" s="1844" t="s">
        <v>1504</v>
      </c>
      <c r="C8" s="1845"/>
      <c r="D8" s="1846" t="s">
        <v>1505</v>
      </c>
      <c r="E8" s="1847" t="s">
        <v>1506</v>
      </c>
      <c r="F8" s="1848" t="s">
        <v>1507</v>
      </c>
      <c r="G8" s="1849"/>
      <c r="H8" s="1820"/>
      <c r="I8" s="1922"/>
      <c r="J8" s="1933"/>
      <c r="K8" s="1937"/>
      <c r="L8" s="1938" t="s">
        <v>1508</v>
      </c>
      <c r="M8" s="1939"/>
      <c r="N8" s="1825"/>
      <c r="O8" s="1940"/>
      <c r="P8" s="1940"/>
      <c r="Q8" s="1861">
        <v>365</v>
      </c>
      <c r="R8" s="1977">
        <f t="shared" ref="R8:R13" si="0">ROUND(M8*N8*O8*P8*Q8/10000,0)</f>
        <v>0</v>
      </c>
      <c r="S8" s="1970"/>
      <c r="T8" s="1970" t="s">
        <v>1509</v>
      </c>
      <c r="U8" s="1970"/>
      <c r="V8" s="1922"/>
    </row>
    <row r="9" s="1801" customFormat="1" customHeight="1" spans="1:22">
      <c r="A9" s="1843">
        <v>1</v>
      </c>
      <c r="B9" s="1844" t="s">
        <v>1510</v>
      </c>
      <c r="C9" s="1845"/>
      <c r="D9" s="1846">
        <f>ROUND(D6*E9,0)</f>
        <v>0</v>
      </c>
      <c r="E9" s="1850"/>
      <c r="F9" s="1851" t="s">
        <v>1511</v>
      </c>
      <c r="G9" s="1835"/>
      <c r="H9" s="1820"/>
      <c r="I9" s="1922"/>
      <c r="J9" s="1933"/>
      <c r="K9" s="1937"/>
      <c r="L9" s="1938" t="s">
        <v>1512</v>
      </c>
      <c r="M9" s="1939"/>
      <c r="N9" s="1825"/>
      <c r="O9" s="1940"/>
      <c r="P9" s="1940"/>
      <c r="Q9" s="1861">
        <v>365</v>
      </c>
      <c r="R9" s="1977">
        <f t="shared" si="0"/>
        <v>0</v>
      </c>
      <c r="S9" s="1970"/>
      <c r="T9" s="1970"/>
      <c r="U9" s="1970"/>
      <c r="V9" s="1922"/>
    </row>
    <row r="10" s="1801" customFormat="1" customHeight="1" spans="1:22">
      <c r="A10" s="1843">
        <v>2</v>
      </c>
      <c r="B10" s="1844" t="s">
        <v>1513</v>
      </c>
      <c r="C10" s="1845"/>
      <c r="D10" s="1846">
        <f>ROUND(D6*E10,0)</f>
        <v>0</v>
      </c>
      <c r="E10" s="1850"/>
      <c r="F10" s="1851" t="s">
        <v>1514</v>
      </c>
      <c r="G10" s="1835"/>
      <c r="H10" s="1820"/>
      <c r="I10" s="1922"/>
      <c r="J10" s="1933"/>
      <c r="K10" s="1937"/>
      <c r="L10" s="1938" t="s">
        <v>1515</v>
      </c>
      <c r="M10" s="1939"/>
      <c r="N10" s="1825"/>
      <c r="O10" s="1940"/>
      <c r="P10" s="1940"/>
      <c r="Q10" s="1861">
        <v>365</v>
      </c>
      <c r="R10" s="1977">
        <f t="shared" si="0"/>
        <v>0</v>
      </c>
      <c r="S10" s="1970"/>
      <c r="T10" s="1970"/>
      <c r="U10" s="1970"/>
      <c r="V10" s="1922"/>
    </row>
    <row r="11" s="1801" customFormat="1" customHeight="1" spans="1:22">
      <c r="A11" s="1843">
        <v>3</v>
      </c>
      <c r="B11" s="1844" t="s">
        <v>1516</v>
      </c>
      <c r="C11" s="1845"/>
      <c r="D11" s="1846">
        <f>D12+D14+D15+D16</f>
        <v>0</v>
      </c>
      <c r="E11" s="1852" t="e">
        <f>D11/D6</f>
        <v>#DIV/0!</v>
      </c>
      <c r="F11" s="1848"/>
      <c r="G11" s="1849"/>
      <c r="H11" s="1820"/>
      <c r="I11" s="1922"/>
      <c r="J11" s="1933"/>
      <c r="K11" s="1937"/>
      <c r="L11" s="1938" t="s">
        <v>1517</v>
      </c>
      <c r="M11" s="1939"/>
      <c r="N11" s="1825"/>
      <c r="O11" s="1940"/>
      <c r="P11" s="1940"/>
      <c r="Q11" s="1861">
        <v>365</v>
      </c>
      <c r="R11" s="1977">
        <f t="shared" si="0"/>
        <v>0</v>
      </c>
      <c r="S11" s="1970"/>
      <c r="T11" s="1970"/>
      <c r="U11" s="1970"/>
      <c r="V11" s="1922"/>
    </row>
    <row r="12" s="1801" customFormat="1" customHeight="1" spans="1:22">
      <c r="A12" s="1853" t="s">
        <v>1518</v>
      </c>
      <c r="B12" s="1854" t="s">
        <v>1519</v>
      </c>
      <c r="C12" s="1855"/>
      <c r="D12" s="1856">
        <f>ROUND(D13*1.2%*(1-30%),0)</f>
        <v>0</v>
      </c>
      <c r="E12" s="1857">
        <v>0.012</v>
      </c>
      <c r="F12" s="1848" t="s">
        <v>1520</v>
      </c>
      <c r="G12" s="1849"/>
      <c r="H12" s="1820"/>
      <c r="I12" s="1922"/>
      <c r="J12" s="1933"/>
      <c r="K12" s="1937"/>
      <c r="L12" s="1938" t="s">
        <v>1521</v>
      </c>
      <c r="M12" s="1939"/>
      <c r="N12" s="1825"/>
      <c r="O12" s="1940"/>
      <c r="P12" s="1940"/>
      <c r="Q12" s="1861">
        <v>365</v>
      </c>
      <c r="R12" s="1977">
        <f t="shared" si="0"/>
        <v>0</v>
      </c>
      <c r="S12" s="1970"/>
      <c r="T12" s="1970"/>
      <c r="U12" s="1970"/>
      <c r="V12" s="1922"/>
    </row>
    <row r="13" s="1801" customFormat="1" customHeight="1" spans="1:22">
      <c r="A13" s="1853"/>
      <c r="B13" s="1854"/>
      <c r="C13" s="1858" t="s">
        <v>1522</v>
      </c>
      <c r="D13" s="1859"/>
      <c r="E13" s="1860"/>
      <c r="F13" s="1848"/>
      <c r="G13" s="1849"/>
      <c r="H13" s="1820"/>
      <c r="I13" s="1922"/>
      <c r="J13" s="1933"/>
      <c r="K13" s="1937"/>
      <c r="L13" s="1938" t="s">
        <v>1523</v>
      </c>
      <c r="M13" s="1939"/>
      <c r="N13" s="1825"/>
      <c r="O13" s="1940"/>
      <c r="P13" s="1940"/>
      <c r="Q13" s="1861">
        <v>365</v>
      </c>
      <c r="R13" s="1977">
        <f t="shared" si="0"/>
        <v>0</v>
      </c>
      <c r="S13" s="1970"/>
      <c r="T13" s="1970"/>
      <c r="U13" s="1970"/>
      <c r="V13" s="1922"/>
    </row>
    <row r="14" s="1801" customFormat="1" customHeight="1" spans="1:22">
      <c r="A14" s="1853" t="s">
        <v>1524</v>
      </c>
      <c r="B14" s="1854" t="s">
        <v>1525</v>
      </c>
      <c r="C14" s="1855"/>
      <c r="D14" s="1856">
        <f>ROUND(E14*B5/10000,0)</f>
        <v>0</v>
      </c>
      <c r="E14" s="1861"/>
      <c r="F14" s="1848" t="s">
        <v>1526</v>
      </c>
      <c r="G14" s="1849"/>
      <c r="H14" s="1820"/>
      <c r="I14" s="1922"/>
      <c r="J14" s="1933"/>
      <c r="K14" s="1941"/>
      <c r="L14" s="1942" t="s">
        <v>1527</v>
      </c>
      <c r="M14" s="1943">
        <f>SUM(M7:M13)</f>
        <v>0</v>
      </c>
      <c r="N14" s="1943" t="e">
        <f>ROUND((N7*M7+N8*M8+N9*M9+N10*M10+N11*M11+N12*M12+N13*M13)/M14,0)</f>
        <v>#DIV/0!</v>
      </c>
      <c r="O14" s="1944"/>
      <c r="P14" s="1944"/>
      <c r="Q14" s="1978"/>
      <c r="R14" s="1972">
        <f>SUM(R7:R13)</f>
        <v>0</v>
      </c>
      <c r="S14" s="1970"/>
      <c r="T14" s="1970"/>
      <c r="U14" s="1970"/>
      <c r="V14" s="1922"/>
    </row>
    <row r="15" s="1801" customFormat="1" customHeight="1" spans="1:22">
      <c r="A15" s="1853" t="s">
        <v>1528</v>
      </c>
      <c r="B15" s="1854" t="s">
        <v>1529</v>
      </c>
      <c r="C15" s="1855"/>
      <c r="D15" s="1856">
        <f>ROUND(D6*E15,0)</f>
        <v>0</v>
      </c>
      <c r="E15" s="1857">
        <v>0.055</v>
      </c>
      <c r="F15" s="1848" t="s">
        <v>1530</v>
      </c>
      <c r="G15" s="1835"/>
      <c r="H15" s="1820"/>
      <c r="I15" s="1922"/>
      <c r="J15" s="1933">
        <v>2</v>
      </c>
      <c r="K15" s="1934" t="s">
        <v>1531</v>
      </c>
      <c r="L15" s="1938" t="s">
        <v>1532</v>
      </c>
      <c r="M15" s="1939" t="s">
        <v>1533</v>
      </c>
      <c r="N15" s="1939" t="s">
        <v>1534</v>
      </c>
      <c r="O15" s="1940" t="s">
        <v>1535</v>
      </c>
      <c r="P15" s="1940" t="s">
        <v>1497</v>
      </c>
      <c r="Q15" s="1825" t="s">
        <v>124</v>
      </c>
      <c r="R15" s="1979" t="s">
        <v>1498</v>
      </c>
      <c r="S15" s="1970"/>
      <c r="T15" s="1970"/>
      <c r="U15" s="1970"/>
      <c r="V15" s="1922"/>
    </row>
    <row r="16" s="1801" customFormat="1" customHeight="1" spans="1:22">
      <c r="A16" s="1853" t="s">
        <v>1536</v>
      </c>
      <c r="B16" s="1854" t="s">
        <v>1537</v>
      </c>
      <c r="C16" s="1855"/>
      <c r="D16" s="1862">
        <f>D6*E16</f>
        <v>0</v>
      </c>
      <c r="E16" s="1863"/>
      <c r="F16" s="1851" t="s">
        <v>1538</v>
      </c>
      <c r="G16" s="1835"/>
      <c r="H16" s="1820"/>
      <c r="I16" s="1922"/>
      <c r="J16" s="1933"/>
      <c r="K16" s="1937"/>
      <c r="L16" s="1938" t="s">
        <v>1539</v>
      </c>
      <c r="M16" s="1939"/>
      <c r="N16" s="1939"/>
      <c r="O16" s="1940"/>
      <c r="P16" s="1861">
        <v>365</v>
      </c>
      <c r="Q16" s="1825"/>
      <c r="R16" s="1979">
        <f>ROUND(M16*N16*O16*P16/10000,0)</f>
        <v>0</v>
      </c>
      <c r="S16" s="1970"/>
      <c r="T16" s="1970"/>
      <c r="U16" s="1970"/>
      <c r="V16" s="1922"/>
    </row>
    <row r="17" s="1801" customFormat="1" customHeight="1" spans="1:22">
      <c r="A17" s="1864">
        <v>4</v>
      </c>
      <c r="B17" s="1865" t="s">
        <v>1540</v>
      </c>
      <c r="C17" s="1866"/>
      <c r="D17" s="1867">
        <f>ROUND(D6*E17,0)</f>
        <v>0</v>
      </c>
      <c r="E17" s="1868"/>
      <c r="F17" s="1869" t="s">
        <v>1541</v>
      </c>
      <c r="G17" s="1835"/>
      <c r="H17" s="1820"/>
      <c r="I17" s="1922"/>
      <c r="J17" s="1933"/>
      <c r="K17" s="1937"/>
      <c r="L17" s="1938" t="s">
        <v>1542</v>
      </c>
      <c r="M17" s="1939"/>
      <c r="N17" s="1939"/>
      <c r="O17" s="1940"/>
      <c r="P17" s="1861">
        <v>365</v>
      </c>
      <c r="Q17" s="1825"/>
      <c r="R17" s="1979">
        <f>ROUND(M17*N17*O17*P17/10000,0)</f>
        <v>0</v>
      </c>
      <c r="S17" s="1970"/>
      <c r="T17" s="1970"/>
      <c r="U17" s="1970"/>
      <c r="V17" s="1922"/>
    </row>
    <row r="18" s="1801" customFormat="1" customHeight="1" spans="1:22">
      <c r="A18" s="1836" t="s">
        <v>1543</v>
      </c>
      <c r="B18" s="1837"/>
      <c r="C18" s="1837"/>
      <c r="D18" s="1870">
        <f>ROUND(D6*E18,0)</f>
        <v>0</v>
      </c>
      <c r="E18" s="1871"/>
      <c r="F18" s="1872" t="s">
        <v>1544</v>
      </c>
      <c r="G18" s="1835"/>
      <c r="H18" s="1820"/>
      <c r="I18" s="1922"/>
      <c r="J18" s="1933"/>
      <c r="K18" s="1937"/>
      <c r="L18" s="1938" t="s">
        <v>1545</v>
      </c>
      <c r="M18" s="1939"/>
      <c r="N18" s="1939"/>
      <c r="O18" s="1940"/>
      <c r="P18" s="1861">
        <v>365</v>
      </c>
      <c r="Q18" s="1825"/>
      <c r="R18" s="1979">
        <f>ROUND(M18*N18*O18*P18/10000,0)</f>
        <v>0</v>
      </c>
      <c r="S18" s="1970"/>
      <c r="T18" s="1970"/>
      <c r="U18" s="1970"/>
      <c r="V18" s="1922"/>
    </row>
    <row r="19" s="1801" customFormat="1" customHeight="1" spans="1:22">
      <c r="A19" s="1873" t="s">
        <v>1546</v>
      </c>
      <c r="B19" s="1833"/>
      <c r="C19" s="1833"/>
      <c r="D19" s="1833"/>
      <c r="E19" s="1833"/>
      <c r="F19" s="1834"/>
      <c r="G19" s="1849"/>
      <c r="H19" s="1820"/>
      <c r="I19" s="1922"/>
      <c r="J19" s="1933"/>
      <c r="K19" s="1941"/>
      <c r="L19" s="1942" t="s">
        <v>1527</v>
      </c>
      <c r="M19" s="1943"/>
      <c r="N19" s="1943">
        <f>SUM(N16:N18)</f>
        <v>0</v>
      </c>
      <c r="O19" s="1944"/>
      <c r="P19" s="1945" t="s">
        <v>1547</v>
      </c>
      <c r="Q19" s="1940">
        <v>0</v>
      </c>
      <c r="R19" s="1980">
        <f>ROUND(IF(P19="按比例",R14*Q19,SUM(R16:R18)),0)</f>
        <v>0</v>
      </c>
      <c r="S19" s="1970"/>
      <c r="T19" s="1970"/>
      <c r="U19" s="1970"/>
      <c r="V19" s="1922"/>
    </row>
    <row r="20" s="1801" customFormat="1" customHeight="1" spans="1:22">
      <c r="A20" s="1836"/>
      <c r="B20" s="1837"/>
      <c r="C20" s="1837"/>
      <c r="D20" s="1837"/>
      <c r="E20" s="1837"/>
      <c r="F20" s="1874"/>
      <c r="G20" s="1849"/>
      <c r="H20" s="1820"/>
      <c r="I20" s="1922"/>
      <c r="J20" s="1933">
        <v>3</v>
      </c>
      <c r="K20" s="1934" t="s">
        <v>1548</v>
      </c>
      <c r="L20" s="1938" t="s">
        <v>1549</v>
      </c>
      <c r="M20" s="1939" t="s">
        <v>1550</v>
      </c>
      <c r="N20" s="1946" t="s">
        <v>1551</v>
      </c>
      <c r="O20" s="1940" t="s">
        <v>1552</v>
      </c>
      <c r="P20" s="1861" t="s">
        <v>1497</v>
      </c>
      <c r="Q20" s="1825" t="s">
        <v>124</v>
      </c>
      <c r="R20" s="1979" t="s">
        <v>1498</v>
      </c>
      <c r="S20" s="1967"/>
      <c r="T20" s="1967"/>
      <c r="U20" s="1967"/>
      <c r="V20" s="1922"/>
    </row>
    <row r="21" s="1801" customFormat="1" customHeight="1" spans="1:22">
      <c r="A21" s="1836"/>
      <c r="B21" s="1837"/>
      <c r="C21" s="1844" t="s">
        <v>1553</v>
      </c>
      <c r="D21" s="1875" t="s">
        <v>1554</v>
      </c>
      <c r="E21" s="1845" t="s">
        <v>1555</v>
      </c>
      <c r="F21" s="1874"/>
      <c r="G21" s="1849"/>
      <c r="H21" s="1820"/>
      <c r="I21" s="1922"/>
      <c r="J21" s="1933"/>
      <c r="K21" s="1937"/>
      <c r="L21" s="1938" t="s">
        <v>1556</v>
      </c>
      <c r="M21" s="1939"/>
      <c r="N21" s="1939"/>
      <c r="O21" s="1940"/>
      <c r="P21" s="1861">
        <v>365</v>
      </c>
      <c r="Q21" s="1825"/>
      <c r="R21" s="1981">
        <f>ROUND(M21*N21*O21*P21/10000,0)</f>
        <v>0</v>
      </c>
      <c r="S21" s="1967"/>
      <c r="T21" s="1967"/>
      <c r="U21" s="1967"/>
      <c r="V21" s="1922"/>
    </row>
    <row r="22" s="1801" customFormat="1" customHeight="1" spans="1:22">
      <c r="A22" s="1836"/>
      <c r="B22" s="1837"/>
      <c r="C22" s="1876" t="s">
        <v>1557</v>
      </c>
      <c r="D22" s="1877" t="s">
        <v>1558</v>
      </c>
      <c r="E22" s="1878" t="s">
        <v>1559</v>
      </c>
      <c r="F22" s="1874"/>
      <c r="G22" s="1879"/>
      <c r="H22" s="1820"/>
      <c r="I22" s="1922"/>
      <c r="J22" s="1933"/>
      <c r="K22" s="1937"/>
      <c r="L22" s="1938" t="s">
        <v>1560</v>
      </c>
      <c r="M22" s="1939"/>
      <c r="N22" s="1939"/>
      <c r="O22" s="1940"/>
      <c r="P22" s="1861">
        <v>365</v>
      </c>
      <c r="Q22" s="1825"/>
      <c r="R22" s="1981">
        <f>ROUND(M22*N22*O22*P22/10000,0)</f>
        <v>0</v>
      </c>
      <c r="S22" s="1967"/>
      <c r="T22" s="1967"/>
      <c r="U22" s="1967"/>
      <c r="V22" s="1922"/>
    </row>
    <row r="23" s="1801" customFormat="1" customHeight="1" spans="1:22">
      <c r="A23" s="1880">
        <v>1</v>
      </c>
      <c r="B23" s="1881" t="s">
        <v>1561</v>
      </c>
      <c r="C23" s="1882">
        <f>D6</f>
        <v>0</v>
      </c>
      <c r="D23" s="1883">
        <f>C23*(1+D24)</f>
        <v>0</v>
      </c>
      <c r="E23" s="1884">
        <f>D23*(1+E24)</f>
        <v>0</v>
      </c>
      <c r="F23" s="1885"/>
      <c r="G23" s="1886"/>
      <c r="H23" s="1820"/>
      <c r="I23" s="1922"/>
      <c r="J23" s="1933"/>
      <c r="K23" s="1937"/>
      <c r="L23" s="1938" t="s">
        <v>1562</v>
      </c>
      <c r="M23" s="1939"/>
      <c r="N23" s="1939"/>
      <c r="O23" s="1940"/>
      <c r="P23" s="1861">
        <v>365</v>
      </c>
      <c r="Q23" s="1825"/>
      <c r="R23" s="1981">
        <f>ROUND(M23*N23*O23*P23/10000,0)</f>
        <v>0</v>
      </c>
      <c r="S23" s="1970"/>
      <c r="T23" s="1970"/>
      <c r="U23" s="1970"/>
      <c r="V23" s="1922"/>
    </row>
    <row r="24" s="1801" customFormat="1" customHeight="1" spans="1:22">
      <c r="A24" s="1887"/>
      <c r="B24" s="1888" t="s">
        <v>1563</v>
      </c>
      <c r="C24" s="1889"/>
      <c r="D24" s="1890"/>
      <c r="E24" s="1891"/>
      <c r="F24" s="1892"/>
      <c r="G24" s="1886"/>
      <c r="H24" s="1820"/>
      <c r="I24" s="1922"/>
      <c r="J24" s="1933"/>
      <c r="K24" s="1941"/>
      <c r="L24" s="1942" t="s">
        <v>1527</v>
      </c>
      <c r="M24" s="1943">
        <f>SUM(M21:M23)</f>
        <v>0</v>
      </c>
      <c r="N24" s="1943"/>
      <c r="O24" s="1944"/>
      <c r="P24" s="1945" t="s">
        <v>1547</v>
      </c>
      <c r="Q24" s="1940">
        <v>0</v>
      </c>
      <c r="R24" s="1980">
        <f>ROUND(IF(P24="按比例",R14*Q24,SUM(R21:R23)),0)</f>
        <v>0</v>
      </c>
      <c r="S24" s="1970"/>
      <c r="T24" s="1970"/>
      <c r="U24" s="1970"/>
      <c r="V24" s="1922"/>
    </row>
    <row r="25" s="1802" customFormat="1" customHeight="1" spans="1:22">
      <c r="A25" s="1887"/>
      <c r="B25" s="1888"/>
      <c r="C25" s="1889"/>
      <c r="D25" s="1890"/>
      <c r="E25" s="1891"/>
      <c r="F25" s="1892"/>
      <c r="G25" s="1879"/>
      <c r="H25" s="1820"/>
      <c r="I25" s="1922"/>
      <c r="J25" s="1933">
        <v>4</v>
      </c>
      <c r="K25" s="1947" t="s">
        <v>1564</v>
      </c>
      <c r="L25" s="1948"/>
      <c r="M25" s="1948"/>
      <c r="N25" s="1948"/>
      <c r="O25" s="1948"/>
      <c r="P25" s="1949"/>
      <c r="Q25" s="1982">
        <v>0</v>
      </c>
      <c r="R25" s="1980">
        <f>ROUND(R14*Q25,0)</f>
        <v>0</v>
      </c>
      <c r="S25" s="1970"/>
      <c r="T25" s="1970"/>
      <c r="U25" s="1970"/>
      <c r="V25" s="1956"/>
    </row>
    <row r="26" s="1802" customFormat="1" customHeight="1" spans="1:22">
      <c r="A26" s="1880">
        <v>2</v>
      </c>
      <c r="B26" s="1881" t="s">
        <v>1565</v>
      </c>
      <c r="C26" s="1882">
        <f>D7</f>
        <v>0</v>
      </c>
      <c r="D26" s="1883">
        <f>D23*D27</f>
        <v>0</v>
      </c>
      <c r="E26" s="1884">
        <f>E23*E27</f>
        <v>0</v>
      </c>
      <c r="F26" s="1885"/>
      <c r="G26" s="1886"/>
      <c r="H26" s="1820"/>
      <c r="I26" s="1922"/>
      <c r="J26" s="1950">
        <v>5</v>
      </c>
      <c r="K26" s="1951" t="s">
        <v>1566</v>
      </c>
      <c r="L26" s="1952"/>
      <c r="M26" s="1953"/>
      <c r="N26" s="1954" t="s">
        <v>458</v>
      </c>
      <c r="O26" s="1954" t="s">
        <v>1567</v>
      </c>
      <c r="P26" s="1955" t="s">
        <v>1568</v>
      </c>
      <c r="Q26" s="1955" t="s">
        <v>1569</v>
      </c>
      <c r="R26" s="1974" t="s">
        <v>1498</v>
      </c>
      <c r="S26" s="1983"/>
      <c r="T26" s="1983"/>
      <c r="U26" s="1983"/>
      <c r="V26" s="1956"/>
    </row>
    <row r="27" s="1801" customFormat="1" customHeight="1" spans="1:22">
      <c r="A27" s="1887"/>
      <c r="B27" s="1888" t="s">
        <v>1570</v>
      </c>
      <c r="C27" s="1893" t="e">
        <f>E7</f>
        <v>#DIV/0!</v>
      </c>
      <c r="D27" s="1890"/>
      <c r="E27" s="1891"/>
      <c r="F27" s="1892"/>
      <c r="G27" s="1886"/>
      <c r="H27" s="1894"/>
      <c r="I27" s="1956"/>
      <c r="J27" s="1957"/>
      <c r="K27" s="1958"/>
      <c r="L27" s="1959"/>
      <c r="M27" s="1960"/>
      <c r="N27" s="1961"/>
      <c r="O27" s="1961"/>
      <c r="P27" s="1961"/>
      <c r="Q27" s="1984"/>
      <c r="R27" s="1980">
        <f>ROUND(O27*N27*P27*(1-Q27)/10000,0)</f>
        <v>0</v>
      </c>
      <c r="S27" s="1970"/>
      <c r="T27" s="1970"/>
      <c r="U27" s="1970"/>
      <c r="V27" s="1922"/>
    </row>
    <row r="28" s="1802" customFormat="1" customHeight="1" spans="1:22">
      <c r="A28" s="1887"/>
      <c r="B28" s="1888"/>
      <c r="C28" s="1893"/>
      <c r="D28" s="1890"/>
      <c r="E28" s="1891" t="s">
        <v>1571</v>
      </c>
      <c r="F28" s="1892"/>
      <c r="G28" s="1879"/>
      <c r="H28" s="1894"/>
      <c r="I28" s="1956"/>
      <c r="J28" s="1962">
        <v>6</v>
      </c>
      <c r="K28" s="1963" t="s">
        <v>1572</v>
      </c>
      <c r="L28" s="1964" t="s">
        <v>1573</v>
      </c>
      <c r="M28" s="1965"/>
      <c r="N28" s="1964" t="s">
        <v>1574</v>
      </c>
      <c r="O28" s="1966"/>
      <c r="P28" s="1964" t="s">
        <v>1575</v>
      </c>
      <c r="Q28" s="1985">
        <v>0.015</v>
      </c>
      <c r="R28" s="1986"/>
      <c r="S28" s="1967"/>
      <c r="T28" s="1967"/>
      <c r="U28" s="1967"/>
      <c r="V28" s="1956"/>
    </row>
    <row r="29" s="1802" customFormat="1" customHeight="1" spans="1:22">
      <c r="A29" s="1880">
        <v>3</v>
      </c>
      <c r="B29" s="1881" t="s">
        <v>1576</v>
      </c>
      <c r="C29" s="1882">
        <f>C23*C30</f>
        <v>0</v>
      </c>
      <c r="D29" s="1883">
        <f>D23*C30</f>
        <v>0</v>
      </c>
      <c r="E29" s="1884">
        <f>E23*C30</f>
        <v>0</v>
      </c>
      <c r="F29" s="1885"/>
      <c r="G29" s="1886"/>
      <c r="H29" s="1820"/>
      <c r="I29" s="1922"/>
      <c r="J29" s="1967"/>
      <c r="K29" s="1967"/>
      <c r="L29" s="1967"/>
      <c r="M29" s="1967"/>
      <c r="N29" s="1967"/>
      <c r="O29" s="1967"/>
      <c r="P29" s="1967"/>
      <c r="Q29" s="1967"/>
      <c r="R29" s="1967"/>
      <c r="S29" s="1967"/>
      <c r="T29" s="1967"/>
      <c r="U29" s="1967"/>
      <c r="V29" s="1956"/>
    </row>
    <row r="30" s="1801" customFormat="1" customHeight="1" spans="1:22">
      <c r="A30" s="1887"/>
      <c r="B30" s="1888" t="s">
        <v>1570</v>
      </c>
      <c r="C30" s="1893">
        <f>E18</f>
        <v>0</v>
      </c>
      <c r="D30" s="1895"/>
      <c r="E30" s="1860"/>
      <c r="F30" s="1892"/>
      <c r="G30" s="1886"/>
      <c r="H30" s="1894"/>
      <c r="I30" s="1956"/>
      <c r="J30" s="1967"/>
      <c r="K30" s="1967"/>
      <c r="L30" s="1967"/>
      <c r="M30" s="1967"/>
      <c r="N30" s="1967"/>
      <c r="O30" s="1967"/>
      <c r="P30" s="1967"/>
      <c r="Q30" s="1967"/>
      <c r="R30" s="1967"/>
      <c r="S30" s="1967"/>
      <c r="T30" s="1967"/>
      <c r="U30" s="1970"/>
      <c r="V30" s="1922"/>
    </row>
    <row r="31" s="1802" customFormat="1" customHeight="1" spans="1:22">
      <c r="A31" s="1887"/>
      <c r="B31" s="1888"/>
      <c r="C31" s="1896"/>
      <c r="D31" s="1895"/>
      <c r="E31" s="1860"/>
      <c r="F31" s="1892"/>
      <c r="G31" s="1879"/>
      <c r="H31" s="1894"/>
      <c r="I31" s="1956"/>
      <c r="J31" s="1920" t="s">
        <v>1577</v>
      </c>
      <c r="K31" s="1921"/>
      <c r="L31" s="1921"/>
      <c r="M31" s="1921"/>
      <c r="N31" s="1921"/>
      <c r="O31" s="1921"/>
      <c r="P31" s="1921"/>
      <c r="Q31" s="1921"/>
      <c r="R31" s="1969"/>
      <c r="S31" s="1967"/>
      <c r="T31" s="1970"/>
      <c r="U31" s="1970"/>
      <c r="V31" s="1956"/>
    </row>
    <row r="32" s="1802" customFormat="1" customHeight="1" spans="1:22">
      <c r="A32" s="1880">
        <v>4</v>
      </c>
      <c r="B32" s="1881" t="s">
        <v>1578</v>
      </c>
      <c r="C32" s="1882">
        <f>C23-C26-C29</f>
        <v>0</v>
      </c>
      <c r="D32" s="1883">
        <f>D23-D26-D29</f>
        <v>0</v>
      </c>
      <c r="E32" s="1884">
        <f>E23-E26-E29</f>
        <v>0</v>
      </c>
      <c r="F32" s="1885"/>
      <c r="G32" s="1879"/>
      <c r="H32" s="1820"/>
      <c r="I32" s="1922"/>
      <c r="J32" s="1923" t="s">
        <v>1477</v>
      </c>
      <c r="K32" s="1924"/>
      <c r="L32" s="1925" t="s">
        <v>1478</v>
      </c>
      <c r="M32" s="1925" t="s">
        <v>1479</v>
      </c>
      <c r="N32" s="1925" t="s">
        <v>1480</v>
      </c>
      <c r="O32" s="1925" t="s">
        <v>1481</v>
      </c>
      <c r="P32" s="1925" t="s">
        <v>1482</v>
      </c>
      <c r="Q32" s="1971" t="s">
        <v>1483</v>
      </c>
      <c r="R32" s="1987" t="s">
        <v>1484</v>
      </c>
      <c r="S32" s="1967"/>
      <c r="T32" s="1970"/>
      <c r="U32" s="1970"/>
      <c r="V32" s="1956"/>
    </row>
    <row r="33" s="1801" customFormat="1" customHeight="1" spans="1:22">
      <c r="A33" s="1880"/>
      <c r="B33" s="1881"/>
      <c r="C33" s="1882"/>
      <c r="D33" s="1897"/>
      <c r="E33" s="1855"/>
      <c r="F33" s="1885"/>
      <c r="G33" s="1879"/>
      <c r="H33" s="1894"/>
      <c r="I33" s="1956"/>
      <c r="J33" s="1926" t="s">
        <v>1485</v>
      </c>
      <c r="K33" s="1927"/>
      <c r="L33" s="1928"/>
      <c r="M33" s="1928"/>
      <c r="N33" s="1928"/>
      <c r="O33" s="1928"/>
      <c r="P33" s="1928"/>
      <c r="Q33" s="1973"/>
      <c r="R33" s="1988">
        <f>SUM(L33:Q33)</f>
        <v>0</v>
      </c>
      <c r="S33" s="1967"/>
      <c r="T33" s="1970"/>
      <c r="U33" s="1970"/>
      <c r="V33" s="1922"/>
    </row>
    <row r="34" s="1801" customFormat="1" customHeight="1" spans="1:22">
      <c r="A34" s="1880">
        <v>5</v>
      </c>
      <c r="B34" s="1881" t="s">
        <v>1579</v>
      </c>
      <c r="C34" s="1898"/>
      <c r="D34" s="1899"/>
      <c r="E34" s="1900"/>
      <c r="F34" s="1885"/>
      <c r="G34" s="1879"/>
      <c r="H34" s="1894"/>
      <c r="I34" s="1956"/>
      <c r="J34" s="1926" t="s">
        <v>1486</v>
      </c>
      <c r="K34" s="1927"/>
      <c r="L34" s="1929"/>
      <c r="M34" s="1929"/>
      <c r="N34" s="1929"/>
      <c r="O34" s="1929"/>
      <c r="P34" s="1929"/>
      <c r="Q34" s="1975"/>
      <c r="R34" s="1989">
        <f>SUM(L34:Q34)</f>
        <v>0</v>
      </c>
      <c r="S34" s="1967"/>
      <c r="T34" s="1970"/>
      <c r="U34" s="1970" t="e">
        <f>ROUND(R35*10000/365/R33,1)</f>
        <v>#DIV/0!</v>
      </c>
      <c r="V34" s="1922"/>
    </row>
    <row r="35" s="1801" customFormat="1" customHeight="1" spans="1:22">
      <c r="A35" s="1880">
        <v>6</v>
      </c>
      <c r="B35" s="1881" t="s">
        <v>1580</v>
      </c>
      <c r="C35" s="1901"/>
      <c r="D35" s="1902"/>
      <c r="E35" s="1903"/>
      <c r="F35" s="1885"/>
      <c r="G35" s="1904"/>
      <c r="H35" s="1820"/>
      <c r="I35" s="1956"/>
      <c r="J35" s="1930" t="s">
        <v>1488</v>
      </c>
      <c r="K35" s="1931"/>
      <c r="L35" s="1931"/>
      <c r="M35" s="1932"/>
      <c r="N35" s="1932"/>
      <c r="O35" s="1932"/>
      <c r="P35" s="1932"/>
      <c r="Q35" s="1932"/>
      <c r="R35" s="1990">
        <f>R40+R41+R43</f>
        <v>0</v>
      </c>
      <c r="S35" s="1967"/>
      <c r="T35" s="1970" t="s">
        <v>1489</v>
      </c>
      <c r="U35" s="1970"/>
      <c r="V35" s="1922"/>
    </row>
    <row r="36" s="1801" customFormat="1" customHeight="1" spans="1:22">
      <c r="A36" s="1880">
        <v>7</v>
      </c>
      <c r="B36" s="1905" t="s">
        <v>1581</v>
      </c>
      <c r="C36" s="1906"/>
      <c r="D36" s="1907"/>
      <c r="E36" s="1908"/>
      <c r="F36" s="1909">
        <f>C36+D36+E36</f>
        <v>0</v>
      </c>
      <c r="G36" s="1879"/>
      <c r="H36" s="1820"/>
      <c r="I36" s="1922"/>
      <c r="J36" s="1933">
        <v>1</v>
      </c>
      <c r="K36" s="1934" t="s">
        <v>1582</v>
      </c>
      <c r="L36" s="1935"/>
      <c r="M36" s="1936"/>
      <c r="N36" s="1936"/>
      <c r="O36" s="1936"/>
      <c r="P36" s="1936"/>
      <c r="Q36" s="1936"/>
      <c r="R36" s="1974" t="s">
        <v>1498</v>
      </c>
      <c r="S36" s="1967"/>
      <c r="T36" s="1970" t="s">
        <v>1499</v>
      </c>
      <c r="U36" s="1970"/>
      <c r="V36" s="1922"/>
    </row>
    <row r="37" s="1801" customFormat="1" customHeight="1" spans="1:22">
      <c r="A37" s="1880"/>
      <c r="B37" s="1881"/>
      <c r="C37" s="1881"/>
      <c r="D37" s="1881"/>
      <c r="E37" s="1881"/>
      <c r="F37" s="1885"/>
      <c r="G37" s="1879"/>
      <c r="H37" s="1820"/>
      <c r="I37" s="1922"/>
      <c r="J37" s="1933"/>
      <c r="K37" s="1937"/>
      <c r="L37" s="1938"/>
      <c r="M37" s="1939"/>
      <c r="N37" s="1825"/>
      <c r="O37" s="1940"/>
      <c r="P37" s="1940"/>
      <c r="Q37" s="1861"/>
      <c r="R37" s="1977"/>
      <c r="S37" s="1967"/>
      <c r="T37" s="1970" t="s">
        <v>1502</v>
      </c>
      <c r="U37" s="1970"/>
      <c r="V37" s="1922"/>
    </row>
    <row r="38" s="1801" customFormat="1" customHeight="1" spans="1:22">
      <c r="A38" s="1880">
        <v>8</v>
      </c>
      <c r="B38" s="1881"/>
      <c r="C38" s="1846" t="e">
        <f>ROUND(C32*(1-((1+C35)/(1+C34))^C36)/(C34-C35),0)</f>
        <v>#DIV/0!</v>
      </c>
      <c r="D38" s="1846">
        <f>IF(D23=0,0,ROUND(D32*(1-((1+D35)/(1+D34))^D36)/(D34-D35),0))</f>
        <v>0</v>
      </c>
      <c r="E38" s="1846">
        <f>IF(E23=0,0,ROUND(E32*(1-((1+E35)/(1+E34))^E36)/(E34-E35),0))</f>
        <v>0</v>
      </c>
      <c r="F38" s="1885"/>
      <c r="G38" s="1879"/>
      <c r="H38" s="1820"/>
      <c r="I38" s="1922"/>
      <c r="J38" s="1933"/>
      <c r="K38" s="1937"/>
      <c r="L38" s="1938"/>
      <c r="M38" s="1939"/>
      <c r="N38" s="1825"/>
      <c r="O38" s="1940"/>
      <c r="P38" s="1940"/>
      <c r="Q38" s="1861"/>
      <c r="R38" s="1977"/>
      <c r="S38" s="1967"/>
      <c r="T38" s="1970" t="s">
        <v>1509</v>
      </c>
      <c r="U38" s="1970"/>
      <c r="V38" s="1922"/>
    </row>
    <row r="39" s="1801" customFormat="1" customHeight="1" spans="1:22">
      <c r="A39" s="1880">
        <v>9</v>
      </c>
      <c r="B39" s="1881" t="s">
        <v>1583</v>
      </c>
      <c r="C39" s="1856" t="e">
        <f>C38</f>
        <v>#DIV/0!</v>
      </c>
      <c r="D39" s="1881">
        <f>D38/(1+D34)^C36</f>
        <v>0</v>
      </c>
      <c r="E39" s="1881">
        <f>E38/(1+E34)^(C36+D36)</f>
        <v>0</v>
      </c>
      <c r="F39" s="1885"/>
      <c r="G39" s="1910"/>
      <c r="H39" s="1820"/>
      <c r="I39" s="1922"/>
      <c r="J39" s="1933"/>
      <c r="K39" s="1937"/>
      <c r="L39" s="1938"/>
      <c r="M39" s="1939"/>
      <c r="N39" s="1825"/>
      <c r="O39" s="1940"/>
      <c r="P39" s="1940"/>
      <c r="Q39" s="1861"/>
      <c r="R39" s="1977"/>
      <c r="S39" s="1967"/>
      <c r="T39" s="1970"/>
      <c r="U39" s="1970"/>
      <c r="V39" s="1922"/>
    </row>
    <row r="40" s="1801" customFormat="1" customHeight="1" spans="1:22">
      <c r="A40" s="1911">
        <v>10</v>
      </c>
      <c r="B40" s="1881" t="s">
        <v>1584</v>
      </c>
      <c r="C40" s="1912" t="e">
        <f>C39+D39+E39</f>
        <v>#DIV/0!</v>
      </c>
      <c r="D40" s="1913"/>
      <c r="E40" s="1913"/>
      <c r="F40" s="1914"/>
      <c r="G40" s="1879"/>
      <c r="H40" s="1820"/>
      <c r="I40" s="1922"/>
      <c r="J40" s="1933"/>
      <c r="K40" s="1941"/>
      <c r="L40" s="1942" t="s">
        <v>1527</v>
      </c>
      <c r="M40" s="1943"/>
      <c r="N40" s="1943"/>
      <c r="O40" s="1944"/>
      <c r="P40" s="1944"/>
      <c r="Q40" s="1978"/>
      <c r="R40" s="1972">
        <f>SUM(R37:R39)</f>
        <v>0</v>
      </c>
      <c r="S40" s="1967"/>
      <c r="T40" s="1970"/>
      <c r="U40" s="1970"/>
      <c r="V40" s="1922"/>
    </row>
    <row r="41" s="1801" customFormat="1" customHeight="1" spans="1:22">
      <c r="A41" s="1915">
        <v>11</v>
      </c>
      <c r="B41" s="1916" t="s">
        <v>1585</v>
      </c>
      <c r="C41" s="1916" t="e">
        <f>ROUND(C40*10000/B4,0)</f>
        <v>#DIV/0!</v>
      </c>
      <c r="D41" s="1917"/>
      <c r="E41" s="1917"/>
      <c r="F41" s="1918"/>
      <c r="G41" s="1919"/>
      <c r="H41" s="1820"/>
      <c r="I41" s="1922"/>
      <c r="J41" s="1933">
        <v>2</v>
      </c>
      <c r="K41" s="1947" t="s">
        <v>1564</v>
      </c>
      <c r="L41" s="1948"/>
      <c r="M41" s="1948"/>
      <c r="N41" s="1948"/>
      <c r="O41" s="1948"/>
      <c r="P41" s="1949"/>
      <c r="Q41" s="1982"/>
      <c r="R41" s="1980">
        <f>ROUND(R40*Q41,0)</f>
        <v>0</v>
      </c>
      <c r="S41" s="1967"/>
      <c r="T41" s="1970"/>
      <c r="U41" s="1983"/>
      <c r="V41" s="1922"/>
    </row>
    <row r="42" s="1801" customFormat="1" customHeight="1" spans="7:22">
      <c r="G42" s="1919"/>
      <c r="H42" s="1820"/>
      <c r="I42" s="1922"/>
      <c r="J42" s="1950">
        <v>3</v>
      </c>
      <c r="K42" s="1951" t="s">
        <v>1566</v>
      </c>
      <c r="L42" s="1952"/>
      <c r="M42" s="1953"/>
      <c r="N42" s="1954" t="s">
        <v>458</v>
      </c>
      <c r="O42" s="1954" t="s">
        <v>1567</v>
      </c>
      <c r="P42" s="1955" t="s">
        <v>1568</v>
      </c>
      <c r="Q42" s="1955" t="s">
        <v>1569</v>
      </c>
      <c r="R42" s="1974" t="s">
        <v>1498</v>
      </c>
      <c r="S42" s="1983"/>
      <c r="T42" s="1983"/>
      <c r="U42" s="1970"/>
      <c r="V42" s="1922"/>
    </row>
    <row r="43" customHeight="1" spans="1:23">
      <c r="A43" s="1801"/>
      <c r="B43" s="1801"/>
      <c r="C43" s="1801"/>
      <c r="D43" s="1801"/>
      <c r="E43" s="1801"/>
      <c r="F43" s="1801"/>
      <c r="I43" s="1805"/>
      <c r="J43" s="1957"/>
      <c r="K43" s="1958"/>
      <c r="L43" s="1959"/>
      <c r="M43" s="1960"/>
      <c r="N43" s="1939"/>
      <c r="O43" s="1939"/>
      <c r="P43" s="1939"/>
      <c r="Q43" s="1982"/>
      <c r="R43" s="1980">
        <f>ROUND(O43*N43*P43*(1-Q43)/10000,0)</f>
        <v>0</v>
      </c>
      <c r="S43" s="1967"/>
      <c r="T43" s="1970"/>
      <c r="V43" s="1807"/>
      <c r="W43" s="1991"/>
    </row>
    <row r="44" customHeight="1" spans="10:18">
      <c r="J44" s="1962">
        <v>6</v>
      </c>
      <c r="K44" s="1963" t="s">
        <v>1572</v>
      </c>
      <c r="L44" s="1968" t="s">
        <v>1573</v>
      </c>
      <c r="M44" s="1965"/>
      <c r="N44" s="1968" t="s">
        <v>1574</v>
      </c>
      <c r="O44" s="1965"/>
      <c r="P44" s="1968" t="s">
        <v>1575</v>
      </c>
      <c r="Q44" s="1985">
        <v>0.015</v>
      </c>
      <c r="R44" s="19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72" customWidth="1"/>
    <col min="2" max="2" width="12" style="972" customWidth="1"/>
    <col min="3" max="3" width="9" style="972"/>
    <col min="4" max="4" width="14.125" style="972" customWidth="1"/>
    <col min="5" max="5" width="9" style="972"/>
    <col min="6" max="6" width="12.875" style="972" customWidth="1"/>
    <col min="7" max="16384" width="9" style="972"/>
  </cols>
  <sheetData>
    <row r="1" ht="20.25" spans="1:19">
      <c r="A1" s="973" t="s">
        <v>1586</v>
      </c>
      <c r="B1" s="1776"/>
      <c r="C1" s="1776"/>
      <c r="D1" s="1776"/>
      <c r="E1" s="1777"/>
      <c r="F1" s="1778"/>
      <c r="G1" s="1779"/>
      <c r="H1" s="1779"/>
      <c r="I1" s="1779"/>
      <c r="J1" s="1779"/>
      <c r="K1" s="1779"/>
      <c r="L1" s="1779"/>
      <c r="M1" s="1779"/>
      <c r="N1" s="1779"/>
      <c r="O1" s="1779"/>
      <c r="P1" s="1779"/>
      <c r="Q1" s="1779"/>
      <c r="R1" s="1779"/>
      <c r="S1" s="1779"/>
    </row>
    <row r="2" spans="1:19">
      <c r="A2" s="1780" t="s">
        <v>984</v>
      </c>
      <c r="B2" s="1781">
        <f ca="1">SUMIF(B6:B13,"&lt;&gt;#ref!",B6:B13)</f>
        <v>1242.8229</v>
      </c>
      <c r="C2" s="1782" t="s">
        <v>1587</v>
      </c>
      <c r="D2" s="1783" t="s">
        <v>1588</v>
      </c>
      <c r="E2" s="1784">
        <f>SUM(E6:E13)</f>
        <v>211.57</v>
      </c>
      <c r="F2" s="1778"/>
      <c r="G2" s="1779"/>
      <c r="H2" s="1779"/>
      <c r="I2" s="1779"/>
      <c r="J2" s="1779"/>
      <c r="K2" s="1779"/>
      <c r="L2" s="1779"/>
      <c r="M2" s="1779"/>
      <c r="N2" s="1779"/>
      <c r="O2" s="1779"/>
      <c r="P2" s="1779"/>
      <c r="Q2" s="1779"/>
      <c r="R2" s="1779"/>
      <c r="S2" s="1779"/>
    </row>
    <row r="3" spans="1:19">
      <c r="A3" s="1780" t="s">
        <v>986</v>
      </c>
      <c r="B3" s="1785">
        <f ca="1">ROUND(B2*10000/E2,0)</f>
        <v>58743</v>
      </c>
      <c r="C3" s="1782" t="s">
        <v>1589</v>
      </c>
      <c r="D3" s="1786"/>
      <c r="E3" s="1787"/>
      <c r="F3" s="1778"/>
      <c r="G3" s="1779"/>
      <c r="H3" s="1779"/>
      <c r="I3" s="1779"/>
      <c r="J3" s="1779"/>
      <c r="K3" s="1779"/>
      <c r="L3" s="1779"/>
      <c r="M3" s="1779"/>
      <c r="N3" s="1779"/>
      <c r="O3" s="1779"/>
      <c r="P3" s="1779"/>
      <c r="Q3" s="1779"/>
      <c r="R3" s="1779"/>
      <c r="S3" s="1779"/>
    </row>
    <row r="4" ht="15.75" spans="1:19">
      <c r="A4" s="1788"/>
      <c r="B4" s="1786"/>
      <c r="C4" s="1786"/>
      <c r="D4" s="1786"/>
      <c r="E4" s="1787"/>
      <c r="F4" s="1778"/>
      <c r="G4" s="1779"/>
      <c r="H4" s="1779"/>
      <c r="I4" s="1779"/>
      <c r="J4" s="1779"/>
      <c r="K4" s="1779"/>
      <c r="L4" s="1779"/>
      <c r="M4" s="1779"/>
      <c r="N4" s="1779"/>
      <c r="O4" s="1779"/>
      <c r="P4" s="1779"/>
      <c r="Q4" s="1779"/>
      <c r="R4" s="1779"/>
      <c r="S4" s="1779"/>
    </row>
    <row r="5" ht="15" spans="1:19">
      <c r="A5" s="1789" t="s">
        <v>1590</v>
      </c>
      <c r="B5" s="1790" t="s">
        <v>1591</v>
      </c>
      <c r="C5" s="1791"/>
      <c r="D5" s="1792"/>
      <c r="E5" s="1793" t="s">
        <v>1592</v>
      </c>
      <c r="F5" s="1794" t="s">
        <v>1593</v>
      </c>
      <c r="G5" s="1779"/>
      <c r="H5" s="1779"/>
      <c r="I5" s="1779"/>
      <c r="J5" s="1779"/>
      <c r="K5" s="1779"/>
      <c r="L5" s="1779"/>
      <c r="M5" s="1779"/>
      <c r="N5" s="1779"/>
      <c r="O5" s="1779"/>
      <c r="P5" s="1779"/>
      <c r="Q5" s="1779"/>
      <c r="R5" s="1779"/>
      <c r="S5" s="1779"/>
    </row>
    <row r="6" spans="1:19">
      <c r="A6" s="1795" t="str">
        <f>'数据-取费表'!AN6</f>
        <v>收益法 (元)</v>
      </c>
      <c r="B6" s="977">
        <f ca="1">IF(F6="是",'数据-取费表'!AO6,0)</f>
        <v>1242.8229</v>
      </c>
      <c r="C6" s="1782" t="s">
        <v>1587</v>
      </c>
      <c r="D6" s="1786"/>
      <c r="E6" s="1796">
        <f>IF(OR(A6=0,F6="否"),0,'数据-取费表'!K6+'数据-取费表'!S6)</f>
        <v>211.57</v>
      </c>
      <c r="F6" s="1797" t="s">
        <v>1594</v>
      </c>
      <c r="G6" s="1779"/>
      <c r="H6" s="1779"/>
      <c r="I6" s="1779"/>
      <c r="J6" s="1779"/>
      <c r="K6" s="1779"/>
      <c r="L6" s="1779"/>
      <c r="M6" s="1779"/>
      <c r="N6" s="1779"/>
      <c r="O6" s="1779"/>
      <c r="P6" s="1779"/>
      <c r="Q6" s="1779"/>
      <c r="R6" s="1779"/>
      <c r="S6" s="1779"/>
    </row>
    <row r="7" spans="1:19">
      <c r="A7" s="1795">
        <f>'数据-取费表'!AN7</f>
        <v>0</v>
      </c>
      <c r="B7" s="977" t="e">
        <f ca="1">IF(F7="是",'数据-取费表'!AO7,0)</f>
        <v>#REF!</v>
      </c>
      <c r="C7" s="1782" t="s">
        <v>1587</v>
      </c>
      <c r="D7" s="1786"/>
      <c r="E7" s="1796">
        <f>IF(OR(A7=0,F7="否"),0,'数据-取费表'!K7+'数据-取费表'!S7)</f>
        <v>0</v>
      </c>
      <c r="F7" s="1797" t="s">
        <v>1594</v>
      </c>
      <c r="G7" s="1779"/>
      <c r="H7" s="1779"/>
      <c r="I7" s="1779"/>
      <c r="J7" s="1779"/>
      <c r="K7" s="1779"/>
      <c r="L7" s="1779"/>
      <c r="M7" s="1779"/>
      <c r="N7" s="1779"/>
      <c r="O7" s="1779"/>
      <c r="P7" s="1779"/>
      <c r="Q7" s="1779"/>
      <c r="R7" s="1779"/>
      <c r="S7" s="1779"/>
    </row>
    <row r="8" spans="1:19">
      <c r="A8" s="1795">
        <f>'数据-取费表'!AN8</f>
        <v>0</v>
      </c>
      <c r="B8" s="977" t="e">
        <f ca="1">IF(F8="是",'数据-取费表'!AO8,0)</f>
        <v>#REF!</v>
      </c>
      <c r="C8" s="1782" t="s">
        <v>1587</v>
      </c>
      <c r="D8" s="1786"/>
      <c r="E8" s="1796">
        <f>IF(OR(A8=0,F8="否"),0,'数据-取费表'!K8+'数据-取费表'!S8)</f>
        <v>0</v>
      </c>
      <c r="F8" s="1797" t="s">
        <v>1594</v>
      </c>
      <c r="G8" s="1779"/>
      <c r="H8" s="1779"/>
      <c r="I8" s="1779"/>
      <c r="J8" s="1779"/>
      <c r="K8" s="1779"/>
      <c r="L8" s="1779"/>
      <c r="M8" s="1779"/>
      <c r="N8" s="1779"/>
      <c r="O8" s="1779"/>
      <c r="P8" s="1779"/>
      <c r="Q8" s="1779"/>
      <c r="R8" s="1779"/>
      <c r="S8" s="1779"/>
    </row>
    <row r="9" spans="1:19">
      <c r="A9" s="1795">
        <f>'数据-取费表'!AN9</f>
        <v>0</v>
      </c>
      <c r="B9" s="977" t="e">
        <f ca="1">IF(F9="是",'数据-取费表'!AO9,0)</f>
        <v>#REF!</v>
      </c>
      <c r="C9" s="1782" t="s">
        <v>1587</v>
      </c>
      <c r="D9" s="1786"/>
      <c r="E9" s="1796">
        <f>IF(OR(A9=0,F9="否"),0,'数据-取费表'!K9+'数据-取费表'!S9)</f>
        <v>0</v>
      </c>
      <c r="F9" s="1797" t="s">
        <v>1594</v>
      </c>
      <c r="G9" s="1779"/>
      <c r="H9" s="1779"/>
      <c r="I9" s="1779"/>
      <c r="J9" s="1779"/>
      <c r="K9" s="1779"/>
      <c r="L9" s="1779"/>
      <c r="M9" s="1779"/>
      <c r="N9" s="1779"/>
      <c r="O9" s="1779"/>
      <c r="P9" s="1779"/>
      <c r="Q9" s="1779"/>
      <c r="R9" s="1779"/>
      <c r="S9" s="1779"/>
    </row>
    <row r="10" spans="1:19">
      <c r="A10" s="1795">
        <f>'数据-取费表'!AN10</f>
        <v>0</v>
      </c>
      <c r="B10" s="977" t="e">
        <f ca="1">IF(F10="是",'数据-取费表'!AO10,0)</f>
        <v>#REF!</v>
      </c>
      <c r="C10" s="1782" t="s">
        <v>1587</v>
      </c>
      <c r="D10" s="1786"/>
      <c r="E10" s="1796">
        <f>IF(OR(A10=0,F10="否"),0,'数据-取费表'!K10+'数据-取费表'!S10)</f>
        <v>0</v>
      </c>
      <c r="F10" s="1797" t="s">
        <v>1594</v>
      </c>
      <c r="G10" s="1779"/>
      <c r="H10" s="1779"/>
      <c r="I10" s="1779"/>
      <c r="J10" s="1779"/>
      <c r="K10" s="1779"/>
      <c r="L10" s="1779"/>
      <c r="M10" s="1779"/>
      <c r="N10" s="1779"/>
      <c r="O10" s="1779"/>
      <c r="P10" s="1779"/>
      <c r="Q10" s="1779"/>
      <c r="R10" s="1779"/>
      <c r="S10" s="1779"/>
    </row>
    <row r="11" spans="1:19">
      <c r="A11" s="1795">
        <f>'数据-取费表'!AN11</f>
        <v>0</v>
      </c>
      <c r="B11" s="977" t="e">
        <f ca="1">IF(F11="是",'数据-取费表'!AO11,0)</f>
        <v>#REF!</v>
      </c>
      <c r="C11" s="1782" t="s">
        <v>1587</v>
      </c>
      <c r="D11" s="1786"/>
      <c r="E11" s="1796">
        <f>IF(OR(A11=0,F11="否"),0,'数据-取费表'!K11+'数据-取费表'!S11)</f>
        <v>0</v>
      </c>
      <c r="F11" s="1797" t="s">
        <v>1594</v>
      </c>
      <c r="G11" s="1779"/>
      <c r="H11" s="1779"/>
      <c r="I11" s="1779"/>
      <c r="J11" s="1779"/>
      <c r="K11" s="1779"/>
      <c r="L11" s="1779"/>
      <c r="M11" s="1779"/>
      <c r="N11" s="1779"/>
      <c r="O11" s="1779"/>
      <c r="P11" s="1779"/>
      <c r="Q11" s="1779"/>
      <c r="R11" s="1779"/>
      <c r="S11" s="1779"/>
    </row>
    <row r="12" spans="1:19">
      <c r="A12" s="1795">
        <f>'数据-取费表'!AN12</f>
        <v>0</v>
      </c>
      <c r="B12" s="977" t="e">
        <f ca="1">IF(F12="是",'数据-取费表'!AO12,0)</f>
        <v>#REF!</v>
      </c>
      <c r="C12" s="1782" t="s">
        <v>1587</v>
      </c>
      <c r="D12" s="1786"/>
      <c r="E12" s="1796">
        <f>IF(OR(A12=0,F12="否"),0,'数据-取费表'!K12+'数据-取费表'!S12)</f>
        <v>0</v>
      </c>
      <c r="F12" s="1797" t="s">
        <v>1594</v>
      </c>
      <c r="G12" s="1779"/>
      <c r="H12" s="1779"/>
      <c r="I12" s="1779"/>
      <c r="J12" s="1779"/>
      <c r="K12" s="1779"/>
      <c r="L12" s="1779"/>
      <c r="M12" s="1779"/>
      <c r="N12" s="1779"/>
      <c r="O12" s="1779"/>
      <c r="P12" s="1779"/>
      <c r="Q12" s="1779"/>
      <c r="R12" s="1779"/>
      <c r="S12" s="1779"/>
    </row>
    <row r="13" ht="15" spans="1:19">
      <c r="A13" s="1798">
        <f>'数据-取费表'!AN13</f>
        <v>0</v>
      </c>
      <c r="B13" s="977" t="e">
        <f ca="1">IF(F13="是",'数据-取费表'!AO13,0)</f>
        <v>#REF!</v>
      </c>
      <c r="C13" s="1799" t="s">
        <v>1587</v>
      </c>
      <c r="D13" s="1800"/>
      <c r="E13" s="1796">
        <f>IF(OR(A13=0,F13="否"),0,'数据-取费表'!K13+'数据-取费表'!S13)</f>
        <v>0</v>
      </c>
      <c r="F13" s="1797" t="s">
        <v>1594</v>
      </c>
      <c r="G13" s="1779"/>
      <c r="H13" s="1779"/>
      <c r="I13" s="1779"/>
      <c r="J13" s="1779"/>
      <c r="K13" s="1779"/>
      <c r="L13" s="1779"/>
      <c r="M13" s="1779"/>
      <c r="N13" s="1779"/>
      <c r="O13" s="1779"/>
      <c r="P13" s="1779"/>
      <c r="Q13" s="1779"/>
      <c r="R13" s="1779"/>
      <c r="S13" s="1779"/>
    </row>
    <row r="14" spans="1:22">
      <c r="A14" s="1779"/>
      <c r="B14" s="1779"/>
      <c r="C14" s="1779"/>
      <c r="D14" s="1779"/>
      <c r="E14" s="1779"/>
      <c r="F14" s="1779"/>
      <c r="G14" s="1779"/>
      <c r="H14" s="1779"/>
      <c r="I14" s="1779"/>
      <c r="J14" s="1779"/>
      <c r="K14" s="1779"/>
      <c r="L14" s="1779"/>
      <c r="M14" s="1779"/>
      <c r="N14" s="1779"/>
      <c r="O14" s="1779"/>
      <c r="P14" s="1779"/>
      <c r="Q14" s="1779"/>
      <c r="R14" s="1779"/>
      <c r="S14" s="1779"/>
      <c r="T14" s="1779"/>
      <c r="U14" s="1779"/>
      <c r="V14" s="1779"/>
    </row>
    <row r="15" spans="1:22">
      <c r="A15" s="1779"/>
      <c r="B15" s="1779"/>
      <c r="C15" s="1779"/>
      <c r="D15" s="1779"/>
      <c r="E15" s="1779"/>
      <c r="F15" s="1779"/>
      <c r="G15" s="1779"/>
      <c r="H15" s="1779"/>
      <c r="I15" s="1779"/>
      <c r="J15" s="1779"/>
      <c r="K15" s="1779"/>
      <c r="L15" s="1779"/>
      <c r="M15" s="1779"/>
      <c r="N15" s="1779"/>
      <c r="O15" s="1779"/>
      <c r="P15" s="1779"/>
      <c r="Q15" s="1779"/>
      <c r="R15" s="1779"/>
      <c r="S15" s="1779"/>
      <c r="T15" s="1779"/>
      <c r="U15" s="1779"/>
      <c r="V15" s="1779"/>
    </row>
    <row r="16" spans="1:22">
      <c r="A16" s="1779"/>
      <c r="B16" s="1779"/>
      <c r="C16" s="1779"/>
      <c r="D16" s="1779"/>
      <c r="E16" s="1779"/>
      <c r="F16" s="1779"/>
      <c r="G16" s="1779"/>
      <c r="H16" s="1779"/>
      <c r="I16" s="1779"/>
      <c r="J16" s="1779"/>
      <c r="K16" s="1779"/>
      <c r="L16" s="1779"/>
      <c r="M16" s="1779"/>
      <c r="N16" s="1779"/>
      <c r="O16" s="1779"/>
      <c r="P16" s="1779"/>
      <c r="Q16" s="1779"/>
      <c r="R16" s="1779"/>
      <c r="S16" s="1779"/>
      <c r="T16" s="1779"/>
      <c r="U16" s="1779"/>
      <c r="V16" s="1779"/>
    </row>
    <row r="17" spans="1:22">
      <c r="A17" s="1779"/>
      <c r="B17" s="1779"/>
      <c r="C17" s="1779"/>
      <c r="D17" s="1779"/>
      <c r="E17" s="1779"/>
      <c r="F17" s="1779"/>
      <c r="G17" s="1779"/>
      <c r="H17" s="1779"/>
      <c r="I17" s="1779"/>
      <c r="J17" s="1779"/>
      <c r="K17" s="1779"/>
      <c r="L17" s="1779"/>
      <c r="M17" s="1779"/>
      <c r="N17" s="1779"/>
      <c r="O17" s="1779"/>
      <c r="P17" s="1779"/>
      <c r="Q17" s="1779"/>
      <c r="R17" s="1779"/>
      <c r="S17" s="1779"/>
      <c r="T17" s="1779"/>
      <c r="U17" s="1779"/>
      <c r="V17" s="1779"/>
    </row>
    <row r="18" spans="1:22">
      <c r="A18" s="1779"/>
      <c r="B18" s="1779"/>
      <c r="C18" s="1779"/>
      <c r="D18" s="1779"/>
      <c r="E18" s="1779"/>
      <c r="F18" s="1779"/>
      <c r="G18" s="1779"/>
      <c r="H18" s="1779"/>
      <c r="I18" s="1779"/>
      <c r="J18" s="1779"/>
      <c r="K18" s="1779"/>
      <c r="L18" s="1779"/>
      <c r="M18" s="1779"/>
      <c r="N18" s="1779"/>
      <c r="O18" s="1779"/>
      <c r="P18" s="1779"/>
      <c r="Q18" s="1779"/>
      <c r="R18" s="1779"/>
      <c r="S18" s="1779"/>
      <c r="T18" s="1779"/>
      <c r="U18" s="1779"/>
      <c r="V18" s="1779"/>
    </row>
    <row r="19" spans="1:22">
      <c r="A19" s="1779"/>
      <c r="B19" s="1779"/>
      <c r="C19" s="1779"/>
      <c r="D19" s="1779"/>
      <c r="E19" s="1779"/>
      <c r="F19" s="1779"/>
      <c r="G19" s="1779"/>
      <c r="H19" s="1779"/>
      <c r="I19" s="1779"/>
      <c r="J19" s="1779"/>
      <c r="K19" s="1779"/>
      <c r="L19" s="1779"/>
      <c r="M19" s="1779"/>
      <c r="N19" s="1779"/>
      <c r="O19" s="1779"/>
      <c r="P19" s="1779"/>
      <c r="Q19" s="1779"/>
      <c r="R19" s="1779"/>
      <c r="S19" s="1779"/>
      <c r="T19" s="1779"/>
      <c r="U19" s="1779"/>
      <c r="V19" s="1779"/>
    </row>
    <row r="20" spans="1:22">
      <c r="A20" s="1779"/>
      <c r="B20" s="1779"/>
      <c r="C20" s="1779"/>
      <c r="D20" s="1779"/>
      <c r="E20" s="1779"/>
      <c r="F20" s="1779"/>
      <c r="G20" s="1779"/>
      <c r="H20" s="1779"/>
      <c r="I20" s="1779"/>
      <c r="J20" s="1779"/>
      <c r="K20" s="1779"/>
      <c r="L20" s="1779"/>
      <c r="M20" s="1779"/>
      <c r="N20" s="1779"/>
      <c r="O20" s="1779"/>
      <c r="P20" s="1779"/>
      <c r="Q20" s="1779"/>
      <c r="R20" s="1779"/>
      <c r="S20" s="1779"/>
      <c r="T20" s="1779"/>
      <c r="U20" s="1779"/>
      <c r="V20" s="1779"/>
    </row>
    <row r="21" spans="1:22">
      <c r="A21" s="1779"/>
      <c r="B21" s="1779"/>
      <c r="C21" s="1779"/>
      <c r="D21" s="1779"/>
      <c r="E21" s="1779"/>
      <c r="F21" s="1779"/>
      <c r="G21" s="1779"/>
      <c r="H21" s="1779"/>
      <c r="I21" s="1779"/>
      <c r="J21" s="1779"/>
      <c r="K21" s="1779"/>
      <c r="L21" s="1779"/>
      <c r="M21" s="1779"/>
      <c r="N21" s="1779"/>
      <c r="O21" s="1779"/>
      <c r="P21" s="1779"/>
      <c r="Q21" s="1779"/>
      <c r="R21" s="1779"/>
      <c r="S21" s="1779"/>
      <c r="T21" s="1779"/>
      <c r="U21" s="1779"/>
      <c r="V21" s="1779"/>
    </row>
    <row r="22" spans="1:22">
      <c r="A22" s="1779"/>
      <c r="B22" s="1779"/>
      <c r="C22" s="1779"/>
      <c r="D22" s="1779"/>
      <c r="E22" s="1779"/>
      <c r="F22" s="1779"/>
      <c r="G22" s="1779"/>
      <c r="H22" s="1779"/>
      <c r="I22" s="1779"/>
      <c r="J22" s="1779"/>
      <c r="K22" s="1779"/>
      <c r="L22" s="1779"/>
      <c r="M22" s="1779"/>
      <c r="N22" s="1779"/>
      <c r="O22" s="1779"/>
      <c r="P22" s="1779"/>
      <c r="Q22" s="1779"/>
      <c r="R22" s="1779"/>
      <c r="S22" s="1779"/>
      <c r="T22" s="1779"/>
      <c r="U22" s="1779"/>
      <c r="V22" s="1779"/>
    </row>
    <row r="23" spans="1:22">
      <c r="A23" s="1779"/>
      <c r="B23" s="1779"/>
      <c r="C23" s="1779"/>
      <c r="D23" s="1779"/>
      <c r="E23" s="1779"/>
      <c r="F23" s="1779"/>
      <c r="G23" s="1779"/>
      <c r="H23" s="1779"/>
      <c r="I23" s="1779"/>
      <c r="J23" s="1779"/>
      <c r="K23" s="1779"/>
      <c r="L23" s="1779"/>
      <c r="M23" s="1779"/>
      <c r="N23" s="1779"/>
      <c r="O23" s="1779"/>
      <c r="P23" s="1779"/>
      <c r="Q23" s="1779"/>
      <c r="R23" s="1779"/>
      <c r="S23" s="1779"/>
      <c r="T23" s="1779"/>
      <c r="U23" s="1779"/>
      <c r="V23" s="1779"/>
    </row>
    <row r="24" spans="1:22">
      <c r="A24" s="1779"/>
      <c r="B24" s="1779"/>
      <c r="C24" s="1779"/>
      <c r="D24" s="1779"/>
      <c r="E24" s="1779"/>
      <c r="F24" s="1779"/>
      <c r="G24" s="1779"/>
      <c r="H24" s="1779"/>
      <c r="I24" s="1779"/>
      <c r="J24" s="1779"/>
      <c r="K24" s="1779"/>
      <c r="L24" s="1779"/>
      <c r="M24" s="1779"/>
      <c r="N24" s="1779"/>
      <c r="O24" s="1779"/>
      <c r="P24" s="1779"/>
      <c r="Q24" s="1779"/>
      <c r="R24" s="1779"/>
      <c r="S24" s="1779"/>
      <c r="T24" s="1779"/>
      <c r="U24" s="1779"/>
      <c r="V24" s="1779"/>
    </row>
    <row r="25" spans="1:22">
      <c r="A25" s="1779"/>
      <c r="B25" s="1779"/>
      <c r="C25" s="1779"/>
      <c r="D25" s="1779"/>
      <c r="E25" s="1779"/>
      <c r="F25" s="1779"/>
      <c r="G25" s="1779"/>
      <c r="H25" s="1779"/>
      <c r="I25" s="1779"/>
      <c r="J25" s="1779"/>
      <c r="K25" s="1779"/>
      <c r="L25" s="1779"/>
      <c r="M25" s="1779"/>
      <c r="N25" s="1779"/>
      <c r="O25" s="1779"/>
      <c r="P25" s="1779"/>
      <c r="Q25" s="1779"/>
      <c r="R25" s="1779"/>
      <c r="S25" s="1779"/>
      <c r="T25" s="1779"/>
      <c r="U25" s="1779"/>
      <c r="V25" s="1779"/>
    </row>
    <row r="26" spans="1:22">
      <c r="A26" s="1779"/>
      <c r="B26" s="1779"/>
      <c r="C26" s="1779"/>
      <c r="D26" s="1779"/>
      <c r="E26" s="1779"/>
      <c r="F26" s="1779"/>
      <c r="G26" s="1779"/>
      <c r="H26" s="1779"/>
      <c r="I26" s="1779"/>
      <c r="J26" s="1779"/>
      <c r="K26" s="1779"/>
      <c r="L26" s="1779"/>
      <c r="M26" s="1779"/>
      <c r="N26" s="1779"/>
      <c r="O26" s="1779"/>
      <c r="P26" s="1779"/>
      <c r="Q26" s="1779"/>
      <c r="R26" s="1779"/>
      <c r="S26" s="1779"/>
      <c r="T26" s="1779"/>
      <c r="U26" s="1779"/>
      <c r="V26" s="1779"/>
    </row>
    <row r="27" spans="1:22">
      <c r="A27" s="1779"/>
      <c r="B27" s="1779"/>
      <c r="C27" s="1779"/>
      <c r="D27" s="1779"/>
      <c r="E27" s="1779"/>
      <c r="F27" s="1779"/>
      <c r="G27" s="1779"/>
      <c r="H27" s="1779"/>
      <c r="I27" s="1779"/>
      <c r="J27" s="1779"/>
      <c r="K27" s="1779"/>
      <c r="L27" s="1779"/>
      <c r="M27" s="1779"/>
      <c r="N27" s="1779"/>
      <c r="O27" s="1779"/>
      <c r="P27" s="1779"/>
      <c r="Q27" s="1779"/>
      <c r="R27" s="1779"/>
      <c r="S27" s="1779"/>
      <c r="T27" s="1779"/>
      <c r="U27" s="1779"/>
      <c r="V27" s="1779"/>
    </row>
    <row r="28" spans="1:22">
      <c r="A28" s="1779"/>
      <c r="B28" s="1779"/>
      <c r="C28" s="1779"/>
      <c r="D28" s="1779"/>
      <c r="E28" s="1779"/>
      <c r="F28" s="1779"/>
      <c r="G28" s="1779"/>
      <c r="H28" s="1779"/>
      <c r="I28" s="1779"/>
      <c r="J28" s="1779"/>
      <c r="K28" s="1779"/>
      <c r="L28" s="1779"/>
      <c r="M28" s="1779"/>
      <c r="N28" s="1779"/>
      <c r="O28" s="1779"/>
      <c r="P28" s="1779"/>
      <c r="Q28" s="1779"/>
      <c r="R28" s="1779"/>
      <c r="S28" s="1779"/>
      <c r="T28" s="1779"/>
      <c r="U28" s="1779"/>
      <c r="V28" s="1779"/>
    </row>
    <row r="29" spans="1:22">
      <c r="A29" s="1779"/>
      <c r="B29" s="1779"/>
      <c r="C29" s="1779"/>
      <c r="D29" s="1779"/>
      <c r="E29" s="1779"/>
      <c r="F29" s="1779"/>
      <c r="G29" s="1779"/>
      <c r="H29" s="1779"/>
      <c r="I29" s="1779"/>
      <c r="J29" s="1779"/>
      <c r="K29" s="1779"/>
      <c r="L29" s="1779"/>
      <c r="M29" s="1779"/>
      <c r="N29" s="1779"/>
      <c r="O29" s="1779"/>
      <c r="P29" s="1779"/>
      <c r="Q29" s="1779"/>
      <c r="R29" s="1779"/>
      <c r="S29" s="1779"/>
      <c r="T29" s="1779"/>
      <c r="U29" s="1779"/>
      <c r="V29" s="1779"/>
    </row>
    <row r="30" spans="1:22">
      <c r="A30" s="1779"/>
      <c r="B30" s="1779"/>
      <c r="C30" s="1779"/>
      <c r="D30" s="1779"/>
      <c r="E30" s="1779"/>
      <c r="F30" s="1779"/>
      <c r="G30" s="1779"/>
      <c r="H30" s="1779"/>
      <c r="I30" s="1779"/>
      <c r="J30" s="1779"/>
      <c r="K30" s="1779"/>
      <c r="L30" s="1779"/>
      <c r="M30" s="1779"/>
      <c r="N30" s="1779"/>
      <c r="O30" s="1779"/>
      <c r="P30" s="1779"/>
      <c r="Q30" s="1779"/>
      <c r="R30" s="1779"/>
      <c r="S30" s="1779"/>
      <c r="T30" s="1779"/>
      <c r="U30" s="1779"/>
      <c r="V30" s="1779"/>
    </row>
    <row r="31" spans="1:22">
      <c r="A31" s="1779"/>
      <c r="B31" s="1779"/>
      <c r="C31" s="1779"/>
      <c r="D31" s="1779"/>
      <c r="E31" s="1779"/>
      <c r="F31" s="1779"/>
      <c r="G31" s="1779"/>
      <c r="H31" s="1779"/>
      <c r="I31" s="1779"/>
      <c r="J31" s="1779"/>
      <c r="K31" s="1779"/>
      <c r="L31" s="1779"/>
      <c r="M31" s="1779"/>
      <c r="N31" s="1779"/>
      <c r="O31" s="1779"/>
      <c r="P31" s="1779"/>
      <c r="Q31" s="1779"/>
      <c r="R31" s="1779"/>
      <c r="S31" s="1779"/>
      <c r="T31" s="1779"/>
      <c r="U31" s="1779"/>
      <c r="V31" s="177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1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1595</v>
      </c>
      <c r="C1" s="1594" t="s">
        <v>1328</v>
      </c>
      <c r="D1" s="1537"/>
      <c r="E1" s="1754"/>
      <c r="F1" s="1539"/>
      <c r="G1" s="1540" t="s">
        <v>1331</v>
      </c>
      <c r="H1" s="1541"/>
      <c r="I1" s="1541"/>
      <c r="J1" s="1541"/>
      <c r="K1" s="1592"/>
      <c r="L1" s="1593"/>
      <c r="M1" s="1594"/>
      <c r="N1" s="1594"/>
      <c r="O1" s="1594"/>
      <c r="P1" s="1759"/>
      <c r="Q1" s="1768"/>
      <c r="R1" s="1768"/>
      <c r="S1" s="1768"/>
      <c r="T1" s="1768"/>
      <c r="U1" s="1768"/>
      <c r="V1" s="1768"/>
      <c r="W1" s="1768"/>
      <c r="X1" s="1768"/>
      <c r="Y1" s="1768"/>
      <c r="Z1" s="1768"/>
      <c r="AA1" s="1768"/>
      <c r="AB1" s="1768"/>
      <c r="AC1" s="1769"/>
    </row>
    <row r="2" s="1114" customFormat="1" ht="28.5" customHeight="1" spans="1:29">
      <c r="A2" s="1542" t="s">
        <v>984</v>
      </c>
      <c r="B2" s="154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760"/>
      <c r="Q2" s="1676"/>
      <c r="R2" s="1676"/>
      <c r="S2" s="1676"/>
      <c r="T2" s="1676"/>
      <c r="U2" s="1676"/>
      <c r="V2" s="1676"/>
      <c r="W2" s="1676"/>
      <c r="X2" s="1676"/>
      <c r="Y2" s="1676"/>
      <c r="Z2" s="1676"/>
      <c r="AA2" s="1676"/>
      <c r="AB2" s="1676"/>
      <c r="AC2" s="1770"/>
    </row>
    <row r="3" s="1114" customFormat="1" ht="28.5" customHeight="1" spans="1:29">
      <c r="A3" s="397" t="s">
        <v>986</v>
      </c>
      <c r="B3" s="1132">
        <f ca="1">IF(C2="——",C49,ROUND(B2*10000/D3,0))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760"/>
      <c r="Q3" s="1676"/>
      <c r="R3" s="1676"/>
      <c r="S3" s="1676"/>
      <c r="T3" s="1676"/>
      <c r="U3" s="1676"/>
      <c r="V3" s="1676"/>
      <c r="W3" s="1676"/>
      <c r="X3" s="1676"/>
      <c r="Y3" s="1676"/>
      <c r="Z3" s="1676"/>
      <c r="AA3" s="1676"/>
      <c r="AB3" s="1676"/>
      <c r="AC3" s="1716"/>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36" t="s">
        <v>1336</v>
      </c>
      <c r="AC4" s="1374" t="s">
        <v>1337</v>
      </c>
    </row>
    <row r="5" ht="15" spans="1:29">
      <c r="A5" s="1140"/>
      <c r="B5" s="1141"/>
      <c r="C5" s="1142" t="s">
        <v>1340</v>
      </c>
      <c r="D5" s="1143"/>
      <c r="E5" s="1144" t="s">
        <v>1596</v>
      </c>
      <c r="F5" s="1145"/>
      <c r="G5" s="1142" t="s">
        <v>1597</v>
      </c>
      <c r="H5" s="1143"/>
      <c r="I5" s="1142" t="s">
        <v>1598</v>
      </c>
      <c r="J5" s="1143"/>
      <c r="K5" s="1294"/>
      <c r="L5" s="1295"/>
      <c r="M5" s="1296"/>
      <c r="N5" s="1296"/>
      <c r="O5" s="1296"/>
      <c r="P5" s="1298"/>
      <c r="Q5" s="1350"/>
      <c r="R5" s="1351"/>
      <c r="S5" s="1352"/>
      <c r="T5" s="1351"/>
      <c r="U5" s="1352"/>
      <c r="V5" s="1336"/>
      <c r="W5" s="1336"/>
      <c r="X5" s="1349"/>
      <c r="Y5" s="1351"/>
      <c r="Z5" s="1352"/>
      <c r="AA5" s="1349"/>
      <c r="AB5" s="1336"/>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36"/>
      <c r="AC6" s="1375"/>
    </row>
    <row r="7" s="1115" customFormat="1" ht="15.75" spans="1:29">
      <c r="A7" s="1152" t="s">
        <v>1347</v>
      </c>
      <c r="B7" s="1153"/>
      <c r="C7" s="1154">
        <f>'数据-取费表'!B2</f>
        <v>45069</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6" si="3">D8/F8</f>
        <v>1</v>
      </c>
      <c r="AB8" s="1376">
        <f t="shared" ref="AB8:AB46" si="4">D8/H8</f>
        <v>1</v>
      </c>
      <c r="AC8" s="1376">
        <f t="shared" ref="AC8:AC46" si="5">D8/J8</f>
        <v>1</v>
      </c>
    </row>
    <row r="9" s="1115" customFormat="1" spans="1:29">
      <c r="A9" s="1160" t="s">
        <v>1353</v>
      </c>
      <c r="B9" s="1161" t="s">
        <v>1354</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70"/>
      <c r="F11" s="1553"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68.25" spans="1:29">
      <c r="A15" s="1182" t="s">
        <v>1359</v>
      </c>
      <c r="B15" s="1503" t="s">
        <v>1599</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c r="L15" s="1312"/>
      <c r="M15" s="1296"/>
      <c r="N15" s="1296"/>
      <c r="O15" s="1296"/>
      <c r="P15" s="1730" t="s">
        <v>1361</v>
      </c>
      <c r="Q15" s="700" t="str">
        <f t="shared" si="6"/>
        <v>商业繁华度</v>
      </c>
      <c r="R15" s="1362" t="s">
        <v>1349</v>
      </c>
      <c r="S15" s="1363">
        <f t="shared" si="0"/>
        <v>100</v>
      </c>
      <c r="T15" s="1362" t="s">
        <v>1349</v>
      </c>
      <c r="U15" s="1363">
        <f t="shared" si="1"/>
        <v>100</v>
      </c>
      <c r="V15" s="1362" t="s">
        <v>1349</v>
      </c>
      <c r="W15" s="1363">
        <f t="shared" si="2"/>
        <v>100</v>
      </c>
      <c r="X15" s="1349"/>
      <c r="Y15" s="1314" t="s">
        <v>1361</v>
      </c>
      <c r="Z15" s="1336" t="str">
        <f t="shared" si="7"/>
        <v>商业繁华度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4" spans="1:29">
      <c r="A23" s="1168"/>
      <c r="B23" s="1506" t="s">
        <v>1367</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57"/>
      <c r="G24" s="131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1600</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1"/>
      <c r="Q25" s="700" t="str">
        <f t="shared" ref="Q25:Q46" si="11">B25</f>
        <v>临街状况</v>
      </c>
      <c r="R25" s="1362" t="s">
        <v>1349</v>
      </c>
      <c r="S25" s="1363">
        <f>F25</f>
        <v>100</v>
      </c>
      <c r="T25" s="1362" t="s">
        <v>1349</v>
      </c>
      <c r="U25" s="1363">
        <f>H25</f>
        <v>100</v>
      </c>
      <c r="V25" s="1362" t="s">
        <v>1349</v>
      </c>
      <c r="W25" s="1363">
        <f>J25</f>
        <v>100</v>
      </c>
      <c r="X25" s="1349"/>
      <c r="Y25" s="1315"/>
      <c r="Z25" s="1336" t="str">
        <f>Q25</f>
        <v>临街状况</v>
      </c>
      <c r="AA25" s="1378">
        <f t="shared" si="3"/>
        <v>1</v>
      </c>
      <c r="AB25" s="1378">
        <f t="shared" si="4"/>
        <v>1</v>
      </c>
      <c r="AC25" s="1378">
        <f t="shared" si="5"/>
        <v>1</v>
      </c>
    </row>
    <row r="26" ht="15" spans="1:29">
      <c r="A26" s="1168"/>
      <c r="B26" s="1511" t="s">
        <v>1601</v>
      </c>
      <c r="C26" s="1176"/>
      <c r="D26" s="1177">
        <v>100</v>
      </c>
      <c r="E26" s="1176"/>
      <c r="F26" s="1560">
        <f>SUMIF(88:88,E26,89:89)-SUMIF(88:88,C26,89:89)+100</f>
        <v>100</v>
      </c>
      <c r="G26" s="1176"/>
      <c r="H26" s="1177">
        <f>SUMIF(88:88,G26,89:89)-SUMIF(88:88,C26,89:89)+100</f>
        <v>100</v>
      </c>
      <c r="I26" s="1176"/>
      <c r="J26" s="1177">
        <f>SUMIF(88:88,I26,89:89)-SUMIF(88:88,C26,89:89)+100</f>
        <v>100</v>
      </c>
      <c r="K26" s="1319"/>
      <c r="L26" s="1312"/>
      <c r="M26" s="1296"/>
      <c r="N26" s="1296"/>
      <c r="O26" s="1296"/>
      <c r="P26" s="1731"/>
      <c r="Q26" s="700" t="str">
        <f t="shared" si="11"/>
        <v>平面位置/可视性</v>
      </c>
      <c r="R26" s="1362" t="s">
        <v>1349</v>
      </c>
      <c r="S26" s="1363">
        <f>F26</f>
        <v>100</v>
      </c>
      <c r="T26" s="1362" t="s">
        <v>1349</v>
      </c>
      <c r="U26" s="1363">
        <f>H26</f>
        <v>100</v>
      </c>
      <c r="V26" s="1362" t="s">
        <v>1349</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1602</v>
      </c>
      <c r="C27" s="1723"/>
      <c r="D27" s="1673">
        <v>100</v>
      </c>
      <c r="E27" s="1723"/>
      <c r="F27" s="1674">
        <f>SUMIF(90:90,E27,91:91)-SUMIF(90:90,C27,91:91)+100</f>
        <v>100</v>
      </c>
      <c r="G27" s="1723"/>
      <c r="H27" s="1673">
        <f>SUMIF(90:90,G27,91:91)-SUMIF(90:90,C27,91:91)+100</f>
        <v>100</v>
      </c>
      <c r="I27" s="1723"/>
      <c r="J27" s="1673">
        <f>SUMIF(90:90,I27,91:91)-SUMIF(90:90,C27,91:91)+100</f>
        <v>100</v>
      </c>
      <c r="K27" s="1320"/>
      <c r="L27" s="1301"/>
      <c r="M27" s="1302"/>
      <c r="N27" s="1302"/>
      <c r="O27" s="1302"/>
      <c r="P27" s="1731"/>
      <c r="Q27" s="1361" t="str">
        <f t="shared" si="11"/>
        <v>人流量</v>
      </c>
      <c r="R27" s="1357" t="s">
        <v>1349</v>
      </c>
      <c r="S27" s="1358">
        <f>F27</f>
        <v>100</v>
      </c>
      <c r="T27" s="1357" t="s">
        <v>1349</v>
      </c>
      <c r="U27" s="1358">
        <f>H27</f>
        <v>100</v>
      </c>
      <c r="V27" s="1357" t="s">
        <v>1349</v>
      </c>
      <c r="W27" s="1358">
        <f>J27</f>
        <v>100</v>
      </c>
      <c r="X27" s="1359"/>
      <c r="Y27" s="1315"/>
      <c r="Z27" s="1377" t="str">
        <f>Q27</f>
        <v>人流量</v>
      </c>
      <c r="AA27" s="1378">
        <f t="shared" si="3"/>
        <v>1</v>
      </c>
      <c r="AB27" s="1378">
        <f t="shared" si="4"/>
        <v>1</v>
      </c>
      <c r="AC27" s="1378">
        <f t="shared" si="5"/>
        <v>1</v>
      </c>
    </row>
    <row r="28" ht="15" spans="1:29">
      <c r="A28" s="1168"/>
      <c r="B28" s="1165" t="s">
        <v>1603</v>
      </c>
      <c r="C28" s="1202"/>
      <c r="D28" s="1177">
        <v>100</v>
      </c>
      <c r="E28" s="1202"/>
      <c r="F28" s="1560">
        <f>SUMIF(92:92,E28,93:93)-SUMIF(92:92,C28,93:93)+100</f>
        <v>100</v>
      </c>
      <c r="G28" s="1202"/>
      <c r="H28" s="1177">
        <f>SUMIF(92:92,G28,93:93)-SUMIF(92:92,C28,93:93)+100</f>
        <v>100</v>
      </c>
      <c r="I28" s="1202"/>
      <c r="J28" s="1177">
        <f>SUMIF(92:92,I28,93:93)-SUMIF(92:92,C28,93:93)+100</f>
        <v>100</v>
      </c>
      <c r="K28" s="1319"/>
      <c r="L28" s="1312"/>
      <c r="M28" s="1296"/>
      <c r="N28" s="1296"/>
      <c r="O28" s="1296"/>
      <c r="P28" s="1731"/>
      <c r="Q28" s="700" t="str">
        <f t="shared" si="11"/>
        <v>楼层</v>
      </c>
      <c r="R28" s="1362" t="s">
        <v>1349</v>
      </c>
      <c r="S28" s="1363">
        <f t="shared" ref="S28:S46" si="12">F28</f>
        <v>100</v>
      </c>
      <c r="T28" s="1362" t="s">
        <v>1349</v>
      </c>
      <c r="U28" s="1363">
        <f t="shared" ref="U28:U46" si="13">H28</f>
        <v>100</v>
      </c>
      <c r="V28" s="1362" t="s">
        <v>1349</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378">
        <f t="shared" si="5"/>
        <v>1</v>
      </c>
    </row>
    <row r="32" ht="15" spans="1:29">
      <c r="A32" s="1182" t="s">
        <v>1377</v>
      </c>
      <c r="B32" s="1161" t="s">
        <v>1604</v>
      </c>
      <c r="C32" s="1755"/>
      <c r="D32" s="1218">
        <v>100</v>
      </c>
      <c r="E32" s="1755"/>
      <c r="F32" s="1560">
        <f>SUMIF(100:100,E32,101:101)-SUMIF(100:100,C32,101:101)+100</f>
        <v>100</v>
      </c>
      <c r="G32" s="1755"/>
      <c r="H32" s="1177">
        <f>SUMIF(100:100,G32,101:101)-SUMIF(100:100,C32,101:101)+100</f>
        <v>100</v>
      </c>
      <c r="I32" s="1755"/>
      <c r="J32" s="1218">
        <f>SUMIF(100:100,I32,101:101)-SUMIF(100:100,C32,101:101)+100</f>
        <v>100</v>
      </c>
      <c r="K32" s="1320"/>
      <c r="L32" s="1312"/>
      <c r="M32" s="1296"/>
      <c r="N32" s="1296"/>
      <c r="O32" s="1296"/>
      <c r="P32" s="1732" t="s">
        <v>1381</v>
      </c>
      <c r="Q32" s="700" t="str">
        <f t="shared" si="11"/>
        <v>商业类型</v>
      </c>
      <c r="R32" s="1362" t="s">
        <v>1349</v>
      </c>
      <c r="S32" s="1363">
        <f t="shared" si="12"/>
        <v>100</v>
      </c>
      <c r="T32" s="1362" t="s">
        <v>1349</v>
      </c>
      <c r="U32" s="1363">
        <f t="shared" si="13"/>
        <v>100</v>
      </c>
      <c r="V32" s="1362" t="s">
        <v>1349</v>
      </c>
      <c r="W32" s="1363">
        <f t="shared" si="14"/>
        <v>100</v>
      </c>
      <c r="X32" s="1349"/>
      <c r="Y32" s="1324" t="s">
        <v>1381</v>
      </c>
      <c r="Z32" s="1336" t="str">
        <f t="shared" si="15"/>
        <v>商业类型</v>
      </c>
      <c r="AA32" s="1378">
        <f t="shared" si="3"/>
        <v>1</v>
      </c>
      <c r="AB32" s="1378">
        <f t="shared" si="4"/>
        <v>1</v>
      </c>
      <c r="AC32" s="1378">
        <f t="shared" si="5"/>
        <v>1</v>
      </c>
    </row>
    <row r="33" s="1117" customFormat="1" ht="15" spans="1:29">
      <c r="A33" s="1224"/>
      <c r="B33" s="1165" t="s">
        <v>1382</v>
      </c>
      <c r="C33" s="1554"/>
      <c r="D33" s="1167">
        <v>100</v>
      </c>
      <c r="E33" s="1170"/>
      <c r="F33" s="1553"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33"/>
      <c r="Q33" s="1599" t="str">
        <f t="shared" si="11"/>
        <v>项目建筑规模</v>
      </c>
      <c r="R33" s="1364" t="s">
        <v>1349</v>
      </c>
      <c r="S33" s="1365" t="e">
        <f t="shared" si="12"/>
        <v>#N/A</v>
      </c>
      <c r="T33" s="1364" t="s">
        <v>1349</v>
      </c>
      <c r="U33" s="1365" t="e">
        <f t="shared" si="13"/>
        <v>#N/A</v>
      </c>
      <c r="V33" s="1364" t="s">
        <v>1349</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1383</v>
      </c>
      <c r="C34" s="1756"/>
      <c r="D34" s="1177">
        <v>100</v>
      </c>
      <c r="E34" s="1756"/>
      <c r="F34" s="1560">
        <f>SUMIF(105:105,E34,106:106)-SUMIF(105:105,C34,106:106)+100</f>
        <v>100</v>
      </c>
      <c r="G34" s="1756"/>
      <c r="H34" s="1177">
        <f>SUMIF(105:105,G34,106:106)-SUMIF(105:105,C34,106:106)+100</f>
        <v>100</v>
      </c>
      <c r="I34" s="1756"/>
      <c r="J34" s="1177">
        <f>SUMIF(105:105,I34,106:106)-SUMIF(105:105,C34,106:106)+100</f>
        <v>100</v>
      </c>
      <c r="K34" s="1320"/>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5"/>
        <v>建筑结构</v>
      </c>
      <c r="AA34" s="1378">
        <f t="shared" si="3"/>
        <v>1</v>
      </c>
      <c r="AB34" s="1378">
        <f t="shared" si="4"/>
        <v>1</v>
      </c>
      <c r="AC34" s="1378">
        <f t="shared" si="5"/>
        <v>1</v>
      </c>
    </row>
    <row r="35" ht="15" spans="1:29">
      <c r="A35" s="1219"/>
      <c r="B35" s="1165" t="s">
        <v>1386</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33"/>
      <c r="Q35" s="700" t="str">
        <f t="shared" si="11"/>
        <v>公共部分装修</v>
      </c>
      <c r="R35" s="1362" t="s">
        <v>1349</v>
      </c>
      <c r="S35" s="1363">
        <f t="shared" si="12"/>
        <v>100</v>
      </c>
      <c r="T35" s="1362" t="s">
        <v>1349</v>
      </c>
      <c r="U35" s="1363">
        <f t="shared" si="13"/>
        <v>100</v>
      </c>
      <c r="V35" s="1362" t="s">
        <v>1349</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634</v>
      </c>
      <c r="C36" s="1567"/>
      <c r="D36" s="1177">
        <v>100</v>
      </c>
      <c r="E36" s="1567"/>
      <c r="F36" s="1560" t="e">
        <f>LOOKUP(E36,110:110,111:111)-LOOKUP(C36,110:110,111:111)+100</f>
        <v>#N/A</v>
      </c>
      <c r="G36" s="1567"/>
      <c r="H36" s="1560" t="e">
        <f>LOOKUP(G36,110:110,111:111)-LOOKUP(C36,110:110,111:111)+100</f>
        <v>#N/A</v>
      </c>
      <c r="I36" s="1567"/>
      <c r="J36" s="1177" t="e">
        <f>LOOKUP(I36,110:110,111:111)-LOOKUP(C36,110:110,111:111)+100</f>
        <v>#N/A</v>
      </c>
      <c r="K36" s="1320"/>
      <c r="L36" s="1312"/>
      <c r="M36" s="1296"/>
      <c r="N36" s="1296"/>
      <c r="O36" s="1296"/>
      <c r="P36" s="1733"/>
      <c r="Q36" s="700" t="str">
        <f t="shared" si="11"/>
        <v>成新度</v>
      </c>
      <c r="R36" s="1362" t="s">
        <v>1349</v>
      </c>
      <c r="S36" s="1363" t="e">
        <f t="shared" si="12"/>
        <v>#N/A</v>
      </c>
      <c r="T36" s="1362" t="s">
        <v>1349</v>
      </c>
      <c r="U36" s="1363" t="e">
        <f t="shared" si="13"/>
        <v>#N/A</v>
      </c>
      <c r="V36" s="1362" t="s">
        <v>1349</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1390</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33"/>
      <c r="Q37" s="1361" t="str">
        <f t="shared" si="11"/>
        <v>市政基础设施</v>
      </c>
      <c r="R37" s="1357" t="s">
        <v>1349</v>
      </c>
      <c r="S37" s="1358">
        <f t="shared" si="12"/>
        <v>100</v>
      </c>
      <c r="T37" s="1357" t="s">
        <v>1349</v>
      </c>
      <c r="U37" s="1358">
        <f t="shared" si="13"/>
        <v>100</v>
      </c>
      <c r="V37" s="1357" t="s">
        <v>1349</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1605</v>
      </c>
      <c r="C38" s="1220"/>
      <c r="D38" s="1177">
        <v>100</v>
      </c>
      <c r="E38" s="1220"/>
      <c r="F38" s="1560">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33" t="s">
        <v>1381</v>
      </c>
      <c r="Q38" s="700" t="str">
        <f t="shared" si="11"/>
        <v>业态</v>
      </c>
      <c r="R38" s="1362" t="s">
        <v>1349</v>
      </c>
      <c r="S38" s="1363">
        <f t="shared" si="12"/>
        <v>100</v>
      </c>
      <c r="T38" s="1362" t="s">
        <v>1349</v>
      </c>
      <c r="U38" s="1363">
        <f t="shared" si="13"/>
        <v>100</v>
      </c>
      <c r="V38" s="1362" t="s">
        <v>1349</v>
      </c>
      <c r="W38" s="1363">
        <f t="shared" si="14"/>
        <v>100</v>
      </c>
      <c r="X38" s="1349"/>
      <c r="Y38" s="1324" t="s">
        <v>1381</v>
      </c>
      <c r="Z38" s="1336" t="str">
        <f t="shared" si="15"/>
        <v>业态</v>
      </c>
      <c r="AA38" s="1378">
        <f t="shared" si="3"/>
        <v>1</v>
      </c>
      <c r="AB38" s="1378">
        <f t="shared" si="4"/>
        <v>1</v>
      </c>
      <c r="AC38" s="1378">
        <f t="shared" si="5"/>
        <v>1</v>
      </c>
    </row>
    <row r="39" ht="15" spans="1:29">
      <c r="A39" s="1219"/>
      <c r="B39" s="1165" t="s">
        <v>1606</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33"/>
      <c r="Q39" s="700" t="str">
        <f t="shared" si="11"/>
        <v>层高</v>
      </c>
      <c r="R39" s="1362" t="s">
        <v>1349</v>
      </c>
      <c r="S39" s="1363">
        <f t="shared" si="12"/>
        <v>100</v>
      </c>
      <c r="T39" s="1362" t="s">
        <v>1349</v>
      </c>
      <c r="U39" s="1363">
        <f t="shared" si="13"/>
        <v>100</v>
      </c>
      <c r="V39" s="1362" t="s">
        <v>1349</v>
      </c>
      <c r="W39" s="1363">
        <f t="shared" si="14"/>
        <v>100</v>
      </c>
      <c r="X39" s="1349"/>
      <c r="Y39" s="1324"/>
      <c r="Z39" s="1336" t="str">
        <f t="shared" si="15"/>
        <v>层高</v>
      </c>
      <c r="AA39" s="1378">
        <f t="shared" si="3"/>
        <v>1</v>
      </c>
      <c r="AB39" s="1378">
        <f t="shared" si="4"/>
        <v>1</v>
      </c>
      <c r="AC39" s="1378">
        <f t="shared" si="5"/>
        <v>1</v>
      </c>
    </row>
    <row r="40" ht="15" spans="1:29">
      <c r="A40" s="1219"/>
      <c r="B40" s="1165" t="s">
        <v>1607</v>
      </c>
      <c r="C40" s="1757"/>
      <c r="D40" s="1177">
        <v>100</v>
      </c>
      <c r="E40" s="1758"/>
      <c r="F40" s="1560">
        <f>SUMIF(118:118,E40,119:119)-SUMIF(118:118,C40,119:119)+100</f>
        <v>100</v>
      </c>
      <c r="G40" s="1758"/>
      <c r="H40" s="1177">
        <f>SUMIF(118:118,G40,119:119)-SUMIF(118:118,C40,119:119)+100</f>
        <v>100</v>
      </c>
      <c r="I40" s="1758"/>
      <c r="J40" s="1177">
        <f>SUMIF(118:118,I40,119:119)-SUMIF(118:118,C40,119:119)+100</f>
        <v>100</v>
      </c>
      <c r="K40" s="1319"/>
      <c r="L40" s="1312"/>
      <c r="M40" s="1296"/>
      <c r="N40" s="1296"/>
      <c r="O40" s="1296"/>
      <c r="P40" s="1733"/>
      <c r="Q40" s="700" t="str">
        <f t="shared" si="11"/>
        <v>单套建筑面积</v>
      </c>
      <c r="R40" s="1362" t="s">
        <v>1349</v>
      </c>
      <c r="S40" s="1363">
        <f t="shared" si="12"/>
        <v>100</v>
      </c>
      <c r="T40" s="1362" t="s">
        <v>1349</v>
      </c>
      <c r="U40" s="1363">
        <f t="shared" si="13"/>
        <v>100</v>
      </c>
      <c r="V40" s="1362" t="s">
        <v>1349</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1608</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3"/>
      <c r="Q41" s="1599" t="str">
        <f t="shared" si="11"/>
        <v>进深比</v>
      </c>
      <c r="R41" s="1364" t="s">
        <v>1349</v>
      </c>
      <c r="S41" s="1365">
        <f t="shared" si="12"/>
        <v>100</v>
      </c>
      <c r="T41" s="1364" t="s">
        <v>1349</v>
      </c>
      <c r="U41" s="1365">
        <f t="shared" si="13"/>
        <v>100</v>
      </c>
      <c r="V41" s="1364" t="s">
        <v>1349</v>
      </c>
      <c r="W41" s="1365">
        <f t="shared" si="14"/>
        <v>100</v>
      </c>
      <c r="X41" s="1366"/>
      <c r="Y41" s="1324"/>
      <c r="Z41" s="1379" t="str">
        <f t="shared" si="15"/>
        <v>进深比</v>
      </c>
      <c r="AA41" s="1378">
        <f t="shared" si="3"/>
        <v>1</v>
      </c>
      <c r="AB41" s="1378">
        <f t="shared" si="4"/>
        <v>1</v>
      </c>
      <c r="AC41" s="1378">
        <f t="shared" si="5"/>
        <v>1</v>
      </c>
    </row>
    <row r="42" ht="15" spans="1:29">
      <c r="A42" s="1219"/>
      <c r="B42" s="1165" t="s">
        <v>1393</v>
      </c>
      <c r="C42" s="1220"/>
      <c r="D42" s="1177">
        <v>100</v>
      </c>
      <c r="E42" s="1220"/>
      <c r="F42" s="1560">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33"/>
      <c r="Q42" s="700" t="str">
        <f t="shared" si="11"/>
        <v>内部装修</v>
      </c>
      <c r="R42" s="1362" t="s">
        <v>1349</v>
      </c>
      <c r="S42" s="1363">
        <f t="shared" si="12"/>
        <v>100</v>
      </c>
      <c r="T42" s="1362" t="s">
        <v>1349</v>
      </c>
      <c r="U42" s="1363">
        <f t="shared" si="13"/>
        <v>100</v>
      </c>
      <c r="V42" s="1362" t="s">
        <v>1349</v>
      </c>
      <c r="W42" s="1363">
        <f t="shared" si="14"/>
        <v>100</v>
      </c>
      <c r="X42" s="1349"/>
      <c r="Y42" s="1324"/>
      <c r="Z42" s="1336" t="str">
        <f t="shared" si="15"/>
        <v>内部装修</v>
      </c>
      <c r="AA42" s="1378">
        <f t="shared" si="3"/>
        <v>1</v>
      </c>
      <c r="AB42" s="1378">
        <f t="shared" si="4"/>
        <v>1</v>
      </c>
      <c r="AC42" s="1378">
        <f t="shared" si="5"/>
        <v>1</v>
      </c>
    </row>
    <row r="43" ht="15" spans="1:29">
      <c r="A43" s="1219"/>
      <c r="B43" s="1165" t="s">
        <v>1396</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1349</v>
      </c>
      <c r="S44" s="1358">
        <f t="shared" si="12"/>
        <v>100</v>
      </c>
      <c r="T44" s="1357" t="s">
        <v>1349</v>
      </c>
      <c r="U44" s="1358">
        <f t="shared" si="13"/>
        <v>100</v>
      </c>
      <c r="V44" s="1357" t="s">
        <v>1349</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5"/>
        <v>111</v>
      </c>
      <c r="AA46" s="1378">
        <f t="shared" si="3"/>
        <v>1</v>
      </c>
      <c r="AB46" s="1378">
        <f t="shared" si="4"/>
        <v>1</v>
      </c>
      <c r="AC46" s="1378">
        <f t="shared" si="5"/>
        <v>1</v>
      </c>
    </row>
    <row r="47" ht="15" spans="1:29">
      <c r="A47" s="1226" t="s">
        <v>1399</v>
      </c>
      <c r="B47" s="1574"/>
      <c r="C47" s="1575" t="s">
        <v>124</v>
      </c>
      <c r="D47" s="1576"/>
      <c r="E47" s="1577"/>
      <c r="F47" s="1578"/>
      <c r="G47" s="1579"/>
      <c r="H47" s="1580"/>
      <c r="I47" s="1577"/>
      <c r="J47" s="1580"/>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75" spans="1:29">
      <c r="A48" s="1234" t="s">
        <v>1400</v>
      </c>
      <c r="B48" s="1581"/>
      <c r="C48" s="1582" t="e">
        <f>R49</f>
        <v>#DIV/0!</v>
      </c>
      <c r="D48" s="1237" t="s">
        <v>1401</v>
      </c>
      <c r="E48" s="1583" t="e">
        <f>R48</f>
        <v>#DIV/0!</v>
      </c>
      <c r="F48" s="1238"/>
      <c r="G48" s="1582" t="e">
        <f>T48</f>
        <v>#DIV/0!</v>
      </c>
      <c r="H48" s="1238"/>
      <c r="I48" s="1583"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75" spans="1:29">
      <c r="A49" s="1240" t="s">
        <v>1402</v>
      </c>
      <c r="B49" s="1241"/>
      <c r="C49" s="1584" t="e">
        <f>R49</f>
        <v>#DIV/0!</v>
      </c>
      <c r="D49" s="1584"/>
      <c r="E49" s="1584"/>
      <c r="F49" s="1584"/>
      <c r="G49" s="1584"/>
      <c r="H49" s="1584"/>
      <c r="I49" s="1584"/>
      <c r="J49" s="1584"/>
      <c r="K49" s="1330"/>
      <c r="L49" s="1328"/>
      <c r="M49" s="1243"/>
      <c r="N49" s="1296"/>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6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61"/>
      <c r="Q51" s="1243"/>
      <c r="R51" s="1243"/>
      <c r="S51" s="1243"/>
      <c r="T51" s="1243"/>
      <c r="U51" s="1243"/>
      <c r="V51" s="1243"/>
      <c r="W51" s="1243"/>
      <c r="X51" s="1243"/>
      <c r="Y51" s="1243"/>
      <c r="Z51" s="1243"/>
      <c r="AA51" s="1243"/>
      <c r="AB51" s="1243"/>
      <c r="AC51" s="1243"/>
    </row>
    <row r="52" ht="13.5" customHeight="1" spans="1:29">
      <c r="A52" s="1243"/>
      <c r="B52" s="1243"/>
      <c r="C52" s="1245" t="s">
        <v>1403</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61"/>
      <c r="Q52" s="1243"/>
      <c r="R52" s="1243"/>
      <c r="S52" s="1243"/>
      <c r="T52" s="1243"/>
      <c r="U52" s="1243"/>
      <c r="V52" s="1243"/>
      <c r="W52" s="1243"/>
      <c r="X52" s="1243"/>
      <c r="Y52" s="1243"/>
      <c r="Z52" s="1243"/>
      <c r="AA52" s="1243"/>
      <c r="AB52" s="1243"/>
      <c r="AC52" s="1243"/>
    </row>
    <row r="53" ht="13.5" customHeight="1" spans="1:29">
      <c r="A53" s="1243"/>
      <c r="B53" s="1243"/>
      <c r="C53" s="1245" t="s">
        <v>1404</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61"/>
      <c r="Q53" s="1243"/>
      <c r="R53" s="1243"/>
      <c r="S53" s="1243"/>
      <c r="T53" s="1243"/>
      <c r="U53" s="1243"/>
      <c r="V53" s="1243"/>
      <c r="W53" s="1243"/>
      <c r="X53" s="1243"/>
      <c r="Y53" s="1243"/>
      <c r="Z53" s="1243"/>
      <c r="AA53" s="1243"/>
      <c r="AB53" s="1243"/>
      <c r="AC53" s="1243"/>
    </row>
    <row r="54" s="1118" customFormat="1" ht="13.5" customHeight="1" spans="1:29">
      <c r="A54" s="1248"/>
      <c r="B54" s="1248"/>
      <c r="C54" s="1245" t="s">
        <v>1405</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6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6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61"/>
      <c r="Q56" s="1243"/>
      <c r="R56" s="1243"/>
      <c r="S56" s="1243"/>
      <c r="T56" s="1243"/>
      <c r="U56" s="1243"/>
      <c r="V56" s="1243"/>
      <c r="W56" s="1243"/>
      <c r="X56" s="1243"/>
      <c r="Y56" s="1243"/>
      <c r="Z56" s="1243"/>
      <c r="AA56" s="1243"/>
      <c r="AB56" s="1243"/>
      <c r="AC56" s="1243"/>
    </row>
    <row r="57" ht="21" spans="1:29">
      <c r="A57" s="1283" t="s">
        <v>1406</v>
      </c>
      <c r="B57" s="1284"/>
      <c r="C57" s="1285"/>
      <c r="D57" s="1285"/>
      <c r="E57" s="1285"/>
      <c r="F57" s="1286"/>
      <c r="G57" s="1286"/>
      <c r="H57" s="1285"/>
      <c r="I57" s="1285"/>
      <c r="J57" s="1285"/>
      <c r="K57" s="1342"/>
      <c r="L57" s="1530"/>
      <c r="M57" s="1344"/>
      <c r="N57" s="1344"/>
      <c r="O57" s="1344"/>
      <c r="P57" s="1763"/>
      <c r="Q57" s="1370"/>
      <c r="R57" s="1243"/>
      <c r="S57" s="1243"/>
      <c r="T57" s="1243"/>
      <c r="U57" s="1243"/>
      <c r="V57" s="1243"/>
      <c r="W57" s="1243"/>
      <c r="X57" s="1243"/>
      <c r="Y57" s="1243"/>
      <c r="Z57" s="1243"/>
      <c r="AA57" s="1243"/>
      <c r="AB57" s="1243"/>
      <c r="AC57" s="1243"/>
    </row>
    <row r="58" s="1120" customFormat="1" ht="15" spans="1:29">
      <c r="A58" s="1586" t="s">
        <v>1347</v>
      </c>
      <c r="B58" s="1587"/>
      <c r="C58" s="1588" t="str">
        <f>YEAR(C7)&amp;"-"&amp;MONTH(C7)</f>
        <v>2023-5</v>
      </c>
      <c r="D58" s="1589">
        <f>EDATE(C58,-1)</f>
        <v>45017</v>
      </c>
      <c r="E58" s="1589">
        <f t="shared" ref="E58:O58" si="16">EDATE(D58,-1)</f>
        <v>44986</v>
      </c>
      <c r="F58" s="1589">
        <f t="shared" si="16"/>
        <v>44958</v>
      </c>
      <c r="G58" s="1589">
        <f t="shared" si="16"/>
        <v>44927</v>
      </c>
      <c r="H58" s="1589">
        <f t="shared" si="16"/>
        <v>44896</v>
      </c>
      <c r="I58" s="1589">
        <f t="shared" si="16"/>
        <v>44866</v>
      </c>
      <c r="J58" s="1589">
        <f t="shared" si="16"/>
        <v>44835</v>
      </c>
      <c r="K58" s="1589">
        <f t="shared" si="16"/>
        <v>44805</v>
      </c>
      <c r="L58" s="1589">
        <f t="shared" si="16"/>
        <v>44774</v>
      </c>
      <c r="M58" s="1589">
        <f t="shared" si="16"/>
        <v>44743</v>
      </c>
      <c r="N58" s="1589">
        <f t="shared" si="16"/>
        <v>44713</v>
      </c>
      <c r="O58" s="1589">
        <f t="shared" si="16"/>
        <v>44682</v>
      </c>
      <c r="P58" s="1764"/>
      <c r="Q58" s="1491"/>
      <c r="R58" s="1491"/>
      <c r="S58" s="1491"/>
      <c r="T58" s="1491"/>
      <c r="U58" s="1491"/>
      <c r="V58" s="1491"/>
      <c r="W58" s="1491"/>
      <c r="X58" s="1491"/>
      <c r="Y58" s="1491"/>
      <c r="Z58" s="1491"/>
      <c r="AA58" s="1491"/>
      <c r="AB58" s="1491"/>
      <c r="AC58" s="1491"/>
    </row>
    <row r="59" s="1115" customFormat="1" ht="15" spans="1:29">
      <c r="A59" s="1590"/>
      <c r="B59" s="1392"/>
      <c r="C59" s="1591">
        <v>100</v>
      </c>
      <c r="D59" s="1396"/>
      <c r="E59" s="1396"/>
      <c r="F59" s="1396"/>
      <c r="G59" s="1396"/>
      <c r="H59" s="1396"/>
      <c r="I59" s="1396"/>
      <c r="J59" s="1396"/>
      <c r="K59" s="1396"/>
      <c r="L59" s="1396"/>
      <c r="M59" s="1598"/>
      <c r="N59" s="1396"/>
      <c r="O59" s="1598"/>
      <c r="P59" s="1765"/>
      <c r="Q59" s="1492"/>
      <c r="R59" s="1492"/>
      <c r="S59" s="1492"/>
      <c r="T59" s="1492"/>
      <c r="U59" s="1492"/>
      <c r="V59" s="1492"/>
      <c r="W59" s="1492"/>
      <c r="X59" s="1492"/>
      <c r="Y59" s="1492"/>
      <c r="Z59" s="1492"/>
      <c r="AA59" s="1492"/>
      <c r="AB59" s="1492"/>
      <c r="AC59" s="1492"/>
    </row>
    <row r="60" s="1115" customFormat="1" ht="15.75" spans="1:29">
      <c r="A60" s="1387" t="s">
        <v>1407</v>
      </c>
      <c r="B60" s="1388"/>
      <c r="C60" s="1389"/>
      <c r="D60" s="1390"/>
      <c r="E60" s="1390"/>
      <c r="F60" s="1390"/>
      <c r="G60" s="1390"/>
      <c r="H60" s="1390"/>
      <c r="I60" s="1390"/>
      <c r="J60" s="1390"/>
      <c r="K60" s="1390"/>
      <c r="L60" s="1390"/>
      <c r="M60" s="1438"/>
      <c r="N60" s="1390"/>
      <c r="O60" s="1438"/>
      <c r="P60" s="1765"/>
      <c r="Q60" s="1370"/>
      <c r="R60" s="1492"/>
      <c r="S60" s="1492"/>
      <c r="T60" s="1492"/>
      <c r="U60" s="1492"/>
      <c r="V60" s="1492"/>
      <c r="W60" s="1492"/>
      <c r="X60" s="1492"/>
      <c r="Y60" s="1492"/>
      <c r="Z60" s="1492"/>
      <c r="AA60" s="1492"/>
      <c r="AB60" s="1492"/>
      <c r="AC60" s="1492"/>
    </row>
    <row r="61" s="1115" customFormat="1" ht="15" spans="1:29">
      <c r="A61" s="1391" t="s">
        <v>1350</v>
      </c>
      <c r="B61" s="1392"/>
      <c r="C61" s="1393" t="s">
        <v>1408</v>
      </c>
      <c r="D61" s="1394"/>
      <c r="E61" s="1394"/>
      <c r="F61" s="1394"/>
      <c r="G61" s="1394"/>
      <c r="H61" s="1394"/>
      <c r="I61" s="1394"/>
      <c r="J61" s="1394"/>
      <c r="K61" s="1394"/>
      <c r="L61" s="1440"/>
      <c r="M61" s="1441"/>
      <c r="N61" s="1442"/>
      <c r="O61" s="1442"/>
      <c r="P61" s="1766"/>
      <c r="Q61" s="1370"/>
      <c r="R61" s="1492"/>
      <c r="S61" s="1492"/>
      <c r="T61" s="1492"/>
      <c r="U61" s="1492"/>
      <c r="V61" s="1492"/>
      <c r="W61" s="1492"/>
      <c r="X61" s="1492"/>
      <c r="Y61" s="1492"/>
      <c r="Z61" s="1492"/>
      <c r="AA61" s="1492"/>
      <c r="AB61" s="1492"/>
      <c r="AC61" s="1492"/>
    </row>
    <row r="62" s="1115" customFormat="1" ht="15.75" spans="1:29">
      <c r="A62" s="1391"/>
      <c r="B62" s="1392"/>
      <c r="C62" s="1725">
        <v>100</v>
      </c>
      <c r="D62" s="1396"/>
      <c r="E62" s="1396"/>
      <c r="F62" s="1396"/>
      <c r="G62" s="1396"/>
      <c r="H62" s="1396"/>
      <c r="I62" s="1396"/>
      <c r="J62" s="1396"/>
      <c r="K62" s="1396"/>
      <c r="L62" s="1396"/>
      <c r="M62" s="1444"/>
      <c r="N62" s="1442"/>
      <c r="O62" s="1442"/>
      <c r="P62" s="1765"/>
      <c r="Q62" s="1370"/>
      <c r="R62" s="1492"/>
      <c r="S62" s="1492"/>
      <c r="T62" s="1492"/>
      <c r="U62" s="1492"/>
      <c r="V62" s="1492"/>
      <c r="W62" s="1492"/>
      <c r="X62" s="1492"/>
      <c r="Y62" s="1492"/>
      <c r="Z62" s="1492"/>
      <c r="AA62" s="1492"/>
      <c r="AB62" s="1492"/>
      <c r="AC62" s="1492"/>
    </row>
    <row r="63" spans="1:29">
      <c r="A63" s="1397" t="s">
        <v>1409</v>
      </c>
      <c r="B63" s="1398" t="s">
        <v>1354</v>
      </c>
      <c r="C63" s="1420">
        <f>C9</f>
        <v>0</v>
      </c>
      <c r="D63" s="1325"/>
      <c r="E63" s="1325"/>
      <c r="F63" s="1325"/>
      <c r="G63" s="1325"/>
      <c r="H63" s="1325"/>
      <c r="I63" s="1325"/>
      <c r="J63" s="1325"/>
      <c r="K63" s="1445"/>
      <c r="L63" s="1446"/>
      <c r="M63" s="1447"/>
      <c r="N63" s="1448"/>
      <c r="O63" s="1448"/>
      <c r="P63" s="1767"/>
      <c r="Q63" s="1370"/>
      <c r="R63" s="1243"/>
      <c r="S63" s="1243"/>
      <c r="T63" s="1243"/>
      <c r="U63" s="1243"/>
      <c r="V63" s="1243"/>
      <c r="W63" s="1243"/>
      <c r="X63" s="1243"/>
      <c r="Y63" s="1243"/>
      <c r="Z63" s="1243"/>
      <c r="AA63" s="1243"/>
      <c r="AB63" s="1243"/>
      <c r="AC63" s="1243"/>
    </row>
    <row r="64" ht="15.75" spans="1:29">
      <c r="A64" s="1399"/>
      <c r="B64" s="1400"/>
      <c r="C64" s="1401">
        <v>100</v>
      </c>
      <c r="D64" s="1401"/>
      <c r="E64" s="1401"/>
      <c r="F64" s="1401"/>
      <c r="G64" s="1401"/>
      <c r="H64" s="1401"/>
      <c r="I64" s="1401"/>
      <c r="J64" s="1401"/>
      <c r="K64" s="1401"/>
      <c r="L64" s="1401"/>
      <c r="M64" s="1450"/>
      <c r="N64" s="1451"/>
      <c r="O64" s="1451"/>
      <c r="P64" s="1767"/>
      <c r="Q64" s="1370"/>
      <c r="R64" s="1243"/>
      <c r="S64" s="1243"/>
      <c r="T64" s="1243"/>
      <c r="U64" s="1243"/>
      <c r="V64" s="1243"/>
      <c r="W64" s="1243"/>
      <c r="X64" s="1243"/>
      <c r="Y64" s="1243"/>
      <c r="Z64" s="1243"/>
      <c r="AA64" s="1243"/>
      <c r="AB64" s="1243"/>
      <c r="AC64" s="1243"/>
    </row>
    <row r="65" ht="27.75" spans="1:29">
      <c r="A65" s="1399"/>
      <c r="B65" s="1402" t="s">
        <v>1357</v>
      </c>
      <c r="C65" s="1427"/>
      <c r="D65" s="1427"/>
      <c r="E65" s="1427"/>
      <c r="F65" s="1427"/>
      <c r="G65" s="1427"/>
      <c r="H65" s="1427"/>
      <c r="I65" s="1427"/>
      <c r="J65" s="1427"/>
      <c r="K65" s="1478"/>
      <c r="L65" s="1479"/>
      <c r="M65" s="1480"/>
      <c r="N65" s="1448"/>
      <c r="O65" s="1448"/>
      <c r="P65" s="1767"/>
      <c r="Q65" s="1370"/>
      <c r="R65" s="1243"/>
      <c r="S65" s="1243"/>
      <c r="T65" s="1243"/>
      <c r="U65" s="1243"/>
      <c r="V65" s="1243"/>
      <c r="W65" s="1243"/>
      <c r="X65" s="1243"/>
      <c r="Y65" s="1243"/>
      <c r="Z65" s="1243"/>
      <c r="AA65" s="1243"/>
      <c r="AB65" s="1243"/>
      <c r="AC65" s="1243"/>
    </row>
    <row r="66" ht="15.75" spans="1:29">
      <c r="A66" s="1399"/>
      <c r="B66" s="1404"/>
      <c r="C66" s="1401"/>
      <c r="D66" s="1401"/>
      <c r="E66" s="1401"/>
      <c r="F66" s="1401"/>
      <c r="G66" s="1401"/>
      <c r="H66" s="1401"/>
      <c r="I66" s="1401"/>
      <c r="J66" s="1401"/>
      <c r="K66" s="1401"/>
      <c r="L66" s="1401"/>
      <c r="M66" s="1450"/>
      <c r="N66" s="1451"/>
      <c r="O66" s="1451"/>
      <c r="P66" s="1767"/>
      <c r="Q66" s="1370"/>
      <c r="R66" s="1243"/>
      <c r="S66" s="1243"/>
      <c r="T66" s="1243"/>
      <c r="U66" s="1243"/>
      <c r="V66" s="1243"/>
      <c r="W66" s="1243"/>
      <c r="X66" s="1243"/>
      <c r="Y66" s="1243"/>
      <c r="Z66" s="1243"/>
      <c r="AA66" s="1243"/>
      <c r="AB66" s="1243"/>
      <c r="AC66" s="1243"/>
    </row>
    <row r="67" ht="15.75" spans="1:29">
      <c r="A67" s="1399"/>
      <c r="B67" s="1406" t="s">
        <v>1358</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67"/>
      <c r="Q67" s="1370"/>
      <c r="R67" s="1243"/>
      <c r="S67" s="1243"/>
      <c r="T67" s="1243"/>
      <c r="U67" s="1243"/>
      <c r="V67" s="1243"/>
      <c r="W67" s="1243"/>
      <c r="X67" s="1243"/>
      <c r="Y67" s="1243"/>
      <c r="Z67" s="1243"/>
      <c r="AA67" s="1243"/>
      <c r="AB67" s="1243"/>
      <c r="AC67" s="1243"/>
    </row>
    <row r="68" ht="15" spans="1:29">
      <c r="A68" s="1399"/>
      <c r="B68" s="1408"/>
      <c r="C68" s="1174"/>
      <c r="D68" s="1174"/>
      <c r="E68" s="1174"/>
      <c r="F68" s="1174"/>
      <c r="G68" s="1174"/>
      <c r="H68" s="1174"/>
      <c r="I68" s="1174"/>
      <c r="J68" s="1174"/>
      <c r="K68" s="1456"/>
      <c r="L68" s="1457"/>
      <c r="M68" s="1458"/>
      <c r="N68" s="1448"/>
      <c r="O68" s="1448"/>
      <c r="P68" s="1767"/>
      <c r="Q68" s="1370"/>
      <c r="R68" s="1243"/>
      <c r="S68" s="1243"/>
      <c r="T68" s="1243"/>
      <c r="U68" s="1243"/>
      <c r="V68" s="1243"/>
      <c r="W68" s="1243"/>
      <c r="X68" s="1243"/>
      <c r="Y68" s="1243"/>
      <c r="Z68" s="1243"/>
      <c r="AA68" s="1243"/>
      <c r="AB68" s="1243"/>
      <c r="AC68" s="1243"/>
    </row>
    <row r="69" ht="15.7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67"/>
      <c r="Q69" s="1370"/>
      <c r="R69" s="1243"/>
      <c r="S69" s="1243"/>
      <c r="T69" s="1243"/>
      <c r="U69" s="1243"/>
      <c r="V69" s="1243"/>
      <c r="W69" s="1243"/>
      <c r="X69" s="1243"/>
      <c r="Y69" s="1243"/>
      <c r="Z69" s="1243"/>
      <c r="AA69" s="1243"/>
      <c r="AB69" s="1243"/>
      <c r="AC69" s="1243"/>
    </row>
    <row r="70" s="1117" customFormat="1" ht="15.75" spans="1:29">
      <c r="A70" s="1409"/>
      <c r="B70" s="1402">
        <f>B12</f>
        <v>111</v>
      </c>
      <c r="C70" s="1410"/>
      <c r="D70" s="1410"/>
      <c r="E70" s="1410"/>
      <c r="F70" s="1410"/>
      <c r="G70" s="1410"/>
      <c r="H70" s="1411"/>
      <c r="I70" s="1411"/>
      <c r="J70" s="1411"/>
      <c r="K70" s="1411"/>
      <c r="L70" s="1459"/>
      <c r="M70" s="1460"/>
      <c r="N70" s="1461"/>
      <c r="O70" s="1461"/>
      <c r="P70" s="1772"/>
      <c r="Q70" s="1493"/>
      <c r="R70" s="1494"/>
      <c r="S70" s="1494"/>
      <c r="T70" s="1494"/>
      <c r="U70" s="1494"/>
      <c r="V70" s="1494"/>
      <c r="W70" s="1494"/>
      <c r="X70" s="1494"/>
      <c r="Y70" s="1494"/>
      <c r="Z70" s="1494"/>
      <c r="AA70" s="1494"/>
      <c r="AB70" s="1494"/>
      <c r="AC70" s="1494"/>
    </row>
    <row r="71" s="1117" customFormat="1" ht="15.75" spans="1:29">
      <c r="A71" s="1409"/>
      <c r="B71" s="1404"/>
      <c r="C71" s="1412"/>
      <c r="D71" s="1401"/>
      <c r="E71" s="1401"/>
      <c r="F71" s="1401"/>
      <c r="G71" s="1401"/>
      <c r="H71" s="1401"/>
      <c r="I71" s="1401"/>
      <c r="J71" s="1401"/>
      <c r="K71" s="1401"/>
      <c r="L71" s="1401"/>
      <c r="M71" s="1450"/>
      <c r="N71" s="1451"/>
      <c r="O71" s="1451"/>
      <c r="P71" s="1772"/>
      <c r="Q71" s="1493"/>
      <c r="R71" s="1494"/>
      <c r="S71" s="1494"/>
      <c r="T71" s="1494"/>
      <c r="U71" s="1494"/>
      <c r="V71" s="1494"/>
      <c r="W71" s="1494"/>
      <c r="X71" s="1494"/>
      <c r="Y71" s="1494"/>
      <c r="Z71" s="1494"/>
      <c r="AA71" s="1494"/>
      <c r="AB71" s="1494"/>
      <c r="AC71" s="1494"/>
    </row>
    <row r="72" s="1117" customFormat="1" ht="15.75" spans="1:29">
      <c r="A72" s="1409"/>
      <c r="B72" s="1402">
        <f>B13</f>
        <v>111</v>
      </c>
      <c r="C72" s="1410"/>
      <c r="D72" s="1410"/>
      <c r="E72" s="1410"/>
      <c r="F72" s="1410"/>
      <c r="G72" s="1410"/>
      <c r="H72" s="1411"/>
      <c r="I72" s="1411"/>
      <c r="J72" s="1411"/>
      <c r="K72" s="1411"/>
      <c r="L72" s="1459"/>
      <c r="M72" s="1460"/>
      <c r="N72" s="1461"/>
      <c r="O72" s="1461"/>
      <c r="P72" s="1773"/>
      <c r="Q72" s="1495"/>
      <c r="R72" s="1494"/>
      <c r="S72" s="1494"/>
      <c r="T72" s="1494"/>
      <c r="U72" s="1494"/>
      <c r="V72" s="1494"/>
      <c r="W72" s="1494"/>
      <c r="X72" s="1494"/>
      <c r="Y72" s="1494"/>
      <c r="Z72" s="1494"/>
      <c r="AA72" s="1494"/>
      <c r="AB72" s="1494"/>
      <c r="AC72" s="1494"/>
    </row>
    <row r="73" s="1117" customFormat="1" ht="15.75" spans="1:29">
      <c r="A73" s="1409"/>
      <c r="B73" s="1404"/>
      <c r="C73" s="1412"/>
      <c r="D73" s="1401"/>
      <c r="E73" s="1401"/>
      <c r="F73" s="1401"/>
      <c r="G73" s="1412"/>
      <c r="H73" s="1413"/>
      <c r="I73" s="1413"/>
      <c r="J73" s="1413"/>
      <c r="K73" s="1413"/>
      <c r="L73" s="1413"/>
      <c r="M73" s="1463"/>
      <c r="N73" s="1461"/>
      <c r="O73" s="1461"/>
      <c r="P73" s="1772"/>
      <c r="Q73" s="1493"/>
      <c r="R73" s="1494"/>
      <c r="S73" s="1494"/>
      <c r="T73" s="1494"/>
      <c r="U73" s="1494"/>
      <c r="V73" s="1494"/>
      <c r="W73" s="1494"/>
      <c r="X73" s="1494"/>
      <c r="Y73" s="1494"/>
      <c r="Z73" s="1494"/>
      <c r="AA73" s="1494"/>
      <c r="AB73" s="1494"/>
      <c r="AC73" s="1494"/>
    </row>
    <row r="74" s="1117" customFormat="1" ht="15.75" spans="1:29">
      <c r="A74" s="1409"/>
      <c r="B74" s="1406">
        <f>B14</f>
        <v>111</v>
      </c>
      <c r="C74" s="1410"/>
      <c r="D74" s="1410"/>
      <c r="E74" s="1410"/>
      <c r="F74" s="1410"/>
      <c r="G74" s="1394"/>
      <c r="H74" s="1414"/>
      <c r="I74" s="1414"/>
      <c r="J74" s="1414"/>
      <c r="K74" s="1414"/>
      <c r="L74" s="1464"/>
      <c r="M74" s="1465"/>
      <c r="N74" s="1461"/>
      <c r="O74" s="1461"/>
      <c r="P74" s="1774"/>
      <c r="Q74" s="1493"/>
      <c r="R74" s="1494"/>
      <c r="S74" s="1494"/>
      <c r="T74" s="1494"/>
      <c r="U74" s="1494"/>
      <c r="V74" s="1494"/>
      <c r="W74" s="1494"/>
      <c r="X74" s="1494"/>
      <c r="Y74" s="1494"/>
      <c r="Z74" s="1494"/>
      <c r="AA74" s="1494"/>
      <c r="AB74" s="1494"/>
      <c r="AC74" s="1494"/>
    </row>
    <row r="75" s="1117" customFormat="1" ht="15.75" spans="1:29">
      <c r="A75" s="1415"/>
      <c r="B75" s="1416"/>
      <c r="C75" s="1417"/>
      <c r="D75" s="1417"/>
      <c r="E75" s="1417"/>
      <c r="F75" s="1417"/>
      <c r="G75" s="1417"/>
      <c r="H75" s="1418"/>
      <c r="I75" s="1418"/>
      <c r="J75" s="1418"/>
      <c r="K75" s="1418"/>
      <c r="L75" s="1418"/>
      <c r="M75" s="1467"/>
      <c r="N75" s="1461"/>
      <c r="O75" s="1461"/>
      <c r="P75" s="1772"/>
      <c r="Q75" s="1493"/>
      <c r="R75" s="1494"/>
      <c r="S75" s="1494"/>
      <c r="T75" s="1494"/>
      <c r="U75" s="1494"/>
      <c r="V75" s="1494"/>
      <c r="W75" s="1494"/>
      <c r="X75" s="1494"/>
      <c r="Y75" s="1494"/>
      <c r="Z75" s="1494"/>
      <c r="AA75" s="1494"/>
      <c r="AB75" s="1494"/>
      <c r="AC75" s="1494"/>
    </row>
    <row r="76" spans="1:29">
      <c r="A76" s="1397" t="s">
        <v>1359</v>
      </c>
      <c r="B76" s="1398" t="s">
        <v>1360</v>
      </c>
      <c r="C76" s="1419" t="s">
        <v>1410</v>
      </c>
      <c r="D76" s="1419" t="s">
        <v>1411</v>
      </c>
      <c r="E76" s="1419" t="s">
        <v>1412</v>
      </c>
      <c r="F76" s="1419" t="s">
        <v>1413</v>
      </c>
      <c r="G76" s="1419" t="s">
        <v>1414</v>
      </c>
      <c r="H76" s="1420"/>
      <c r="I76" s="1420"/>
      <c r="J76" s="1420"/>
      <c r="K76" s="1468"/>
      <c r="L76" s="1469"/>
      <c r="M76" s="1470"/>
      <c r="N76" s="1448"/>
      <c r="O76" s="1448"/>
      <c r="P76" s="1775"/>
      <c r="Q76" s="1370"/>
      <c r="R76" s="1243"/>
      <c r="S76" s="1243"/>
      <c r="T76" s="1243"/>
      <c r="U76" s="1243"/>
      <c r="V76" s="1243"/>
      <c r="W76" s="1243"/>
      <c r="X76" s="1243"/>
      <c r="Y76" s="1243"/>
      <c r="Z76" s="1243"/>
      <c r="AA76" s="1243"/>
      <c r="AB76" s="1243"/>
      <c r="AC76" s="1243"/>
    </row>
    <row r="77" ht="15.7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67"/>
      <c r="Q77" s="1370"/>
      <c r="R77" s="1243"/>
      <c r="S77" s="1243"/>
      <c r="T77" s="1243"/>
      <c r="U77" s="1243"/>
      <c r="V77" s="1243"/>
      <c r="W77" s="1243"/>
      <c r="X77" s="1243"/>
      <c r="Y77" s="1243"/>
      <c r="Z77" s="1243"/>
      <c r="AA77" s="1243"/>
      <c r="AB77" s="1243"/>
      <c r="AC77" s="1243"/>
    </row>
    <row r="78" ht="15.75" spans="1:29">
      <c r="A78" s="1399"/>
      <c r="B78" s="1402" t="s">
        <v>1363</v>
      </c>
      <c r="C78" s="1421" t="s">
        <v>1410</v>
      </c>
      <c r="D78" s="1421" t="s">
        <v>1411</v>
      </c>
      <c r="E78" s="1421" t="s">
        <v>1412</v>
      </c>
      <c r="F78" s="1421" t="s">
        <v>1413</v>
      </c>
      <c r="G78" s="1421" t="s">
        <v>1414</v>
      </c>
      <c r="H78" s="1403"/>
      <c r="I78" s="1403"/>
      <c r="J78" s="1403"/>
      <c r="K78" s="1452"/>
      <c r="L78" s="1453"/>
      <c r="M78" s="1454"/>
      <c r="N78" s="1448"/>
      <c r="O78" s="1448"/>
      <c r="P78" s="1767"/>
      <c r="Q78" s="1370"/>
      <c r="R78" s="1243"/>
      <c r="S78" s="1243"/>
      <c r="T78" s="1243"/>
      <c r="U78" s="1243"/>
      <c r="V78" s="1243"/>
      <c r="W78" s="1243"/>
      <c r="X78" s="1243"/>
      <c r="Y78" s="1243"/>
      <c r="Z78" s="1243"/>
      <c r="AA78" s="1243"/>
      <c r="AB78" s="1243"/>
      <c r="AC78" s="1243"/>
    </row>
    <row r="79" ht="15.7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67"/>
      <c r="Q79" s="1370"/>
      <c r="R79" s="1243"/>
      <c r="S79" s="1243"/>
      <c r="T79" s="1243"/>
      <c r="U79" s="1243"/>
      <c r="V79" s="1243"/>
      <c r="W79" s="1243"/>
      <c r="X79" s="1243"/>
      <c r="Y79" s="1243"/>
      <c r="Z79" s="1243"/>
      <c r="AA79" s="1243"/>
      <c r="AB79" s="1243"/>
      <c r="AC79" s="1243"/>
    </row>
    <row r="80" ht="15.75" spans="1:29">
      <c r="A80" s="1399"/>
      <c r="B80" s="1402" t="s">
        <v>1364</v>
      </c>
      <c r="C80" s="1421" t="s">
        <v>1410</v>
      </c>
      <c r="D80" s="1421" t="s">
        <v>1411</v>
      </c>
      <c r="E80" s="1421" t="s">
        <v>1412</v>
      </c>
      <c r="F80" s="1421" t="s">
        <v>1413</v>
      </c>
      <c r="G80" s="1421" t="s">
        <v>1414</v>
      </c>
      <c r="H80" s="1403"/>
      <c r="I80" s="1403"/>
      <c r="J80" s="1403"/>
      <c r="K80" s="1452"/>
      <c r="L80" s="1453"/>
      <c r="M80" s="1454"/>
      <c r="N80" s="1448"/>
      <c r="O80" s="1448"/>
      <c r="P80" s="1767"/>
      <c r="Q80" s="1370"/>
      <c r="R80" s="1243"/>
      <c r="S80" s="1243"/>
      <c r="T80" s="1243"/>
      <c r="U80" s="1243"/>
      <c r="V80" s="1243"/>
      <c r="W80" s="1243"/>
      <c r="X80" s="1243"/>
      <c r="Y80" s="1243"/>
      <c r="Z80" s="1243"/>
      <c r="AA80" s="1243"/>
      <c r="AB80" s="1243"/>
      <c r="AC80" s="1243"/>
    </row>
    <row r="81" ht="15.7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67"/>
      <c r="Q81" s="1370"/>
      <c r="R81" s="1243"/>
      <c r="S81" s="1243"/>
      <c r="T81" s="1243"/>
      <c r="U81" s="1243"/>
      <c r="V81" s="1243"/>
      <c r="W81" s="1243"/>
      <c r="X81" s="1243"/>
      <c r="Y81" s="1243"/>
      <c r="Z81" s="1243"/>
      <c r="AA81" s="1243"/>
      <c r="AB81" s="1243"/>
      <c r="AC81" s="1243"/>
    </row>
    <row r="82" ht="15.75" spans="1:29">
      <c r="A82" s="1399"/>
      <c r="B82" s="1406" t="s">
        <v>1366</v>
      </c>
      <c r="C82" s="1426" t="s">
        <v>1415</v>
      </c>
      <c r="D82" s="1426" t="s">
        <v>1416</v>
      </c>
      <c r="E82" s="1426" t="s">
        <v>1417</v>
      </c>
      <c r="F82" s="1426" t="s">
        <v>1418</v>
      </c>
      <c r="G82" s="1426" t="s">
        <v>1419</v>
      </c>
      <c r="H82" s="1403"/>
      <c r="I82" s="1403"/>
      <c r="J82" s="1403"/>
      <c r="K82" s="1403"/>
      <c r="L82" s="1403"/>
      <c r="M82" s="1604"/>
      <c r="N82" s="1451"/>
      <c r="O82" s="1451"/>
      <c r="P82" s="1767"/>
      <c r="Q82" s="1370"/>
      <c r="R82" s="1243"/>
      <c r="S82" s="1243"/>
      <c r="T82" s="1243"/>
      <c r="U82" s="1243"/>
      <c r="V82" s="1243"/>
      <c r="W82" s="1243"/>
      <c r="X82" s="1243"/>
      <c r="Y82" s="1243"/>
      <c r="Z82" s="1243"/>
      <c r="AA82" s="1243"/>
      <c r="AB82" s="1243"/>
      <c r="AC82" s="1243"/>
    </row>
    <row r="83" ht="15.7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67"/>
      <c r="Q83" s="1370"/>
      <c r="R83" s="1243"/>
      <c r="S83" s="1243"/>
      <c r="T83" s="1243"/>
      <c r="U83" s="1243"/>
      <c r="V83" s="1243"/>
      <c r="W83" s="1243"/>
      <c r="X83" s="1243"/>
      <c r="Y83" s="1243"/>
      <c r="Z83" s="1243"/>
      <c r="AA83" s="1243"/>
      <c r="AB83" s="1243"/>
      <c r="AC83" s="1243"/>
    </row>
    <row r="84" ht="15.75" spans="1:29">
      <c r="A84" s="1399"/>
      <c r="B84" s="1402" t="s">
        <v>1367</v>
      </c>
      <c r="C84" s="1421" t="s">
        <v>1410</v>
      </c>
      <c r="D84" s="1421" t="s">
        <v>1411</v>
      </c>
      <c r="E84" s="1421" t="s">
        <v>1412</v>
      </c>
      <c r="F84" s="1421" t="s">
        <v>1413</v>
      </c>
      <c r="G84" s="1421" t="s">
        <v>1414</v>
      </c>
      <c r="H84" s="1403"/>
      <c r="I84" s="1403"/>
      <c r="J84" s="1403"/>
      <c r="K84" s="1452"/>
      <c r="L84" s="1453"/>
      <c r="M84" s="1454"/>
      <c r="N84" s="1448"/>
      <c r="O84" s="1448"/>
      <c r="P84" s="1767"/>
      <c r="Q84" s="1370"/>
      <c r="R84" s="1243"/>
      <c r="S84" s="1243"/>
      <c r="T84" s="1243"/>
      <c r="U84" s="1243"/>
      <c r="V84" s="1243"/>
      <c r="W84" s="1243"/>
      <c r="X84" s="1243"/>
      <c r="Y84" s="1243"/>
      <c r="Z84" s="1243"/>
      <c r="AA84" s="1243"/>
      <c r="AB84" s="1243"/>
      <c r="AC84" s="1243"/>
    </row>
    <row r="85" ht="15.7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67"/>
      <c r="Q85" s="1370"/>
      <c r="R85" s="1243"/>
      <c r="S85" s="1243"/>
      <c r="T85" s="1243"/>
      <c r="U85" s="1243"/>
      <c r="V85" s="1243"/>
      <c r="W85" s="1243"/>
      <c r="X85" s="1243"/>
      <c r="Y85" s="1243"/>
      <c r="Z85" s="1243"/>
      <c r="AA85" s="1243"/>
      <c r="AB85" s="1243"/>
      <c r="AC85" s="1243"/>
    </row>
    <row r="86" s="1115" customFormat="1" ht="15.75" spans="1:29">
      <c r="A86" s="1422"/>
      <c r="B86" s="1402" t="s">
        <v>1600</v>
      </c>
      <c r="C86" s="1410"/>
      <c r="D86" s="1410"/>
      <c r="E86" s="1410"/>
      <c r="F86" s="1410"/>
      <c r="G86" s="1410"/>
      <c r="H86" s="1410"/>
      <c r="I86" s="1410"/>
      <c r="J86" s="1410"/>
      <c r="K86" s="1410"/>
      <c r="L86" s="1605"/>
      <c r="M86" s="1606"/>
      <c r="N86" s="1442"/>
      <c r="O86" s="1442"/>
      <c r="P86" s="1767"/>
      <c r="Q86" s="1370"/>
      <c r="R86" s="1492"/>
      <c r="S86" s="1492"/>
      <c r="T86" s="1492"/>
      <c r="U86" s="1492"/>
      <c r="V86" s="1492"/>
      <c r="W86" s="1492"/>
      <c r="X86" s="1492"/>
      <c r="Y86" s="1492"/>
      <c r="Z86" s="1492"/>
      <c r="AA86" s="1492"/>
      <c r="AB86" s="1492"/>
      <c r="AC86" s="1492"/>
    </row>
    <row r="87" s="1115" customFormat="1" ht="15.7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67"/>
      <c r="Q87" s="1370"/>
      <c r="R87" s="1492"/>
      <c r="S87" s="1492"/>
      <c r="T87" s="1492"/>
      <c r="U87" s="1492"/>
      <c r="V87" s="1492"/>
      <c r="W87" s="1492"/>
      <c r="X87" s="1492"/>
      <c r="Y87" s="1492"/>
      <c r="Z87" s="1492"/>
      <c r="AA87" s="1492"/>
      <c r="AB87" s="1492"/>
      <c r="AC87" s="1492"/>
    </row>
    <row r="88" s="1115" customFormat="1" ht="15.75" spans="1:29">
      <c r="A88" s="1422"/>
      <c r="B88" s="1402" t="str">
        <f>B26</f>
        <v>平面位置/可视性</v>
      </c>
      <c r="C88" s="1410"/>
      <c r="D88" s="1410"/>
      <c r="E88" s="1410"/>
      <c r="F88" s="1748"/>
      <c r="G88" s="1410"/>
      <c r="H88" s="1410"/>
      <c r="I88" s="1410"/>
      <c r="J88" s="1410"/>
      <c r="K88" s="1410"/>
      <c r="L88" s="1410"/>
      <c r="M88" s="1606"/>
      <c r="N88" s="1442"/>
      <c r="O88" s="1442"/>
      <c r="P88" s="1767"/>
      <c r="Q88" s="1370"/>
      <c r="R88" s="1492"/>
      <c r="S88" s="1492"/>
      <c r="T88" s="1492"/>
      <c r="U88" s="1492"/>
      <c r="V88" s="1492"/>
      <c r="W88" s="1492"/>
      <c r="X88" s="1492"/>
      <c r="Y88" s="1492"/>
      <c r="Z88" s="1492"/>
      <c r="AA88" s="1492"/>
      <c r="AB88" s="1492"/>
      <c r="AC88" s="1492"/>
    </row>
    <row r="89" s="1115" customFormat="1" ht="15.75" spans="1:29">
      <c r="A89" s="1422"/>
      <c r="B89" s="1404"/>
      <c r="C89" s="1412"/>
      <c r="D89" s="1401"/>
      <c r="E89" s="1401"/>
      <c r="F89" s="1401"/>
      <c r="G89" s="1401"/>
      <c r="H89" s="1401"/>
      <c r="I89" s="1401"/>
      <c r="J89" s="1401"/>
      <c r="K89" s="1401"/>
      <c r="L89" s="1401"/>
      <c r="M89" s="1401"/>
      <c r="N89" s="1451"/>
      <c r="O89" s="1451"/>
      <c r="P89" s="1767"/>
      <c r="Q89" s="1370"/>
      <c r="R89" s="1492"/>
      <c r="S89" s="1492"/>
      <c r="T89" s="1492"/>
      <c r="U89" s="1492"/>
      <c r="V89" s="1492"/>
      <c r="W89" s="1492"/>
      <c r="X89" s="1492"/>
      <c r="Y89" s="1492"/>
      <c r="Z89" s="1492"/>
      <c r="AA89" s="1492"/>
      <c r="AB89" s="1492"/>
      <c r="AC89" s="1492"/>
    </row>
    <row r="90" s="1117" customFormat="1" ht="15.75" spans="1:29">
      <c r="A90" s="1409"/>
      <c r="B90" s="1402" t="str">
        <f>B27</f>
        <v>人流量</v>
      </c>
      <c r="C90" s="1410"/>
      <c r="D90" s="1410"/>
      <c r="E90" s="1410"/>
      <c r="F90" s="1410"/>
      <c r="G90" s="1410"/>
      <c r="H90" s="1411"/>
      <c r="I90" s="1411"/>
      <c r="J90" s="1411"/>
      <c r="K90" s="1411"/>
      <c r="L90" s="1459"/>
      <c r="M90" s="1460"/>
      <c r="N90" s="1461"/>
      <c r="O90" s="1461"/>
      <c r="P90" s="1772"/>
      <c r="Q90" s="1493"/>
      <c r="R90" s="1494"/>
      <c r="S90" s="1494"/>
      <c r="T90" s="1494"/>
      <c r="U90" s="1494"/>
      <c r="V90" s="1494"/>
      <c r="W90" s="1494"/>
      <c r="X90" s="1494"/>
      <c r="Y90" s="1494"/>
      <c r="Z90" s="1494"/>
      <c r="AA90" s="1494"/>
      <c r="AB90" s="1494"/>
      <c r="AC90" s="1494"/>
    </row>
    <row r="91" s="1117" customFormat="1" ht="15.7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72"/>
      <c r="Q91" s="1493"/>
      <c r="R91" s="1494"/>
      <c r="S91" s="1494"/>
      <c r="T91" s="1494"/>
      <c r="U91" s="1494"/>
      <c r="V91" s="1494"/>
      <c r="W91" s="1494"/>
      <c r="X91" s="1494"/>
      <c r="Y91" s="1494"/>
      <c r="Z91" s="1494"/>
      <c r="AA91" s="1494"/>
      <c r="AB91" s="1494"/>
      <c r="AC91" s="1494"/>
    </row>
    <row r="92" ht="15.75" spans="1:29">
      <c r="A92" s="1399"/>
      <c r="B92" s="1402" t="str">
        <f>B28</f>
        <v>楼层</v>
      </c>
      <c r="C92" s="1410"/>
      <c r="D92" s="1410"/>
      <c r="E92" s="1410"/>
      <c r="F92" s="1410"/>
      <c r="G92" s="1410"/>
      <c r="H92" s="1410"/>
      <c r="I92" s="1410"/>
      <c r="J92" s="1410"/>
      <c r="K92" s="1410"/>
      <c r="L92" s="1605"/>
      <c r="M92" s="1606"/>
      <c r="N92" s="1448"/>
      <c r="O92" s="1448"/>
      <c r="P92" s="1767"/>
      <c r="Q92" s="1370"/>
      <c r="R92" s="1243"/>
      <c r="S92" s="1243"/>
      <c r="T92" s="1243"/>
      <c r="U92" s="1243"/>
      <c r="V92" s="1243"/>
      <c r="W92" s="1243"/>
      <c r="X92" s="1243"/>
      <c r="Y92" s="1243"/>
      <c r="Z92" s="1243"/>
      <c r="AA92" s="1243"/>
      <c r="AB92" s="1243"/>
      <c r="AC92" s="1243"/>
    </row>
    <row r="93" ht="15.75" spans="1:29">
      <c r="A93" s="1399"/>
      <c r="B93" s="1404"/>
      <c r="C93" s="1401"/>
      <c r="D93" s="1401"/>
      <c r="E93" s="1401"/>
      <c r="F93" s="1401"/>
      <c r="G93" s="1401"/>
      <c r="H93" s="1401"/>
      <c r="I93" s="1401"/>
      <c r="J93" s="1401"/>
      <c r="K93" s="1401"/>
      <c r="L93" s="1401"/>
      <c r="M93" s="1450"/>
      <c r="N93" s="1451"/>
      <c r="O93" s="1451"/>
      <c r="P93" s="1767"/>
      <c r="Q93" s="1370"/>
      <c r="R93" s="1243"/>
      <c r="S93" s="1243"/>
      <c r="T93" s="1243"/>
      <c r="U93" s="1243"/>
      <c r="V93" s="1243"/>
      <c r="W93" s="1243"/>
      <c r="X93" s="1243"/>
      <c r="Y93" s="1243"/>
      <c r="Z93" s="1243"/>
      <c r="AA93" s="1243"/>
      <c r="AB93" s="1243"/>
      <c r="AC93" s="1243"/>
    </row>
    <row r="94" ht="15.75" spans="1:29">
      <c r="A94" s="1399"/>
      <c r="B94" s="1402">
        <f>B29</f>
        <v>111</v>
      </c>
      <c r="C94" s="1410"/>
      <c r="D94" s="1410"/>
      <c r="E94" s="1410"/>
      <c r="F94" s="1410"/>
      <c r="G94" s="1427"/>
      <c r="H94" s="1427"/>
      <c r="I94" s="1427"/>
      <c r="J94" s="1427"/>
      <c r="K94" s="1478"/>
      <c r="L94" s="1479"/>
      <c r="M94" s="1480"/>
      <c r="N94" s="1448"/>
      <c r="O94" s="1448"/>
      <c r="P94" s="1767"/>
      <c r="Q94" s="1370"/>
      <c r="R94" s="1243"/>
      <c r="S94" s="1243"/>
      <c r="T94" s="1243"/>
      <c r="U94" s="1243"/>
      <c r="V94" s="1243"/>
      <c r="W94" s="1243"/>
      <c r="X94" s="1243"/>
      <c r="Y94" s="1243"/>
      <c r="Z94" s="1243"/>
      <c r="AA94" s="1243"/>
      <c r="AB94" s="1243"/>
      <c r="AC94" s="1243"/>
    </row>
    <row r="95" ht="15.75" spans="1:29">
      <c r="A95" s="1399"/>
      <c r="B95" s="1404"/>
      <c r="C95" s="1412"/>
      <c r="D95" s="1401"/>
      <c r="E95" s="1401"/>
      <c r="F95" s="1401"/>
      <c r="G95" s="1401"/>
      <c r="H95" s="1401"/>
      <c r="I95" s="1401"/>
      <c r="J95" s="1401"/>
      <c r="K95" s="1401"/>
      <c r="L95" s="1401"/>
      <c r="M95" s="1450"/>
      <c r="N95" s="1451"/>
      <c r="O95" s="1451"/>
      <c r="P95" s="1767"/>
      <c r="Q95" s="1370"/>
      <c r="R95" s="1243"/>
      <c r="S95" s="1243"/>
      <c r="T95" s="1243"/>
      <c r="U95" s="1243"/>
      <c r="V95" s="1243"/>
      <c r="W95" s="1243"/>
      <c r="X95" s="1243"/>
      <c r="Y95" s="1243"/>
      <c r="Z95" s="1243"/>
      <c r="AA95" s="1243"/>
      <c r="AB95" s="1243"/>
      <c r="AC95" s="1243"/>
    </row>
    <row r="96" ht="15.75" spans="1:29">
      <c r="A96" s="1399"/>
      <c r="B96" s="1402">
        <f>B30</f>
        <v>111</v>
      </c>
      <c r="C96" s="1410"/>
      <c r="D96" s="1410"/>
      <c r="E96" s="1410"/>
      <c r="F96" s="1410"/>
      <c r="G96" s="1427"/>
      <c r="H96" s="1427"/>
      <c r="I96" s="1427"/>
      <c r="J96" s="1427"/>
      <c r="K96" s="1478"/>
      <c r="L96" s="1479"/>
      <c r="M96" s="1480"/>
      <c r="N96" s="1448"/>
      <c r="O96" s="1448"/>
      <c r="P96" s="1767"/>
      <c r="Q96" s="1370"/>
      <c r="R96" s="1243"/>
      <c r="S96" s="1243"/>
      <c r="T96" s="1243"/>
      <c r="U96" s="1243"/>
      <c r="V96" s="1243"/>
      <c r="W96" s="1243"/>
      <c r="X96" s="1243"/>
      <c r="Y96" s="1243"/>
      <c r="Z96" s="1243"/>
      <c r="AA96" s="1243"/>
      <c r="AB96" s="1243"/>
      <c r="AC96" s="1243"/>
    </row>
    <row r="97" ht="15.75" spans="1:29">
      <c r="A97" s="1399"/>
      <c r="B97" s="1404"/>
      <c r="C97" s="1412"/>
      <c r="D97" s="1401"/>
      <c r="E97" s="1401"/>
      <c r="F97" s="1401"/>
      <c r="G97" s="1401"/>
      <c r="H97" s="1401"/>
      <c r="I97" s="1401"/>
      <c r="J97" s="1401"/>
      <c r="K97" s="1401"/>
      <c r="L97" s="1401"/>
      <c r="M97" s="1450"/>
      <c r="N97" s="1451"/>
      <c r="O97" s="1451"/>
      <c r="P97" s="1767"/>
      <c r="Q97" s="1370"/>
      <c r="R97" s="1243"/>
      <c r="S97" s="1243"/>
      <c r="T97" s="1243"/>
      <c r="U97" s="1243"/>
      <c r="V97" s="1243"/>
      <c r="W97" s="1243"/>
      <c r="X97" s="1243"/>
      <c r="Y97" s="1243"/>
      <c r="Z97" s="1243"/>
      <c r="AA97" s="1243"/>
      <c r="AB97" s="1243"/>
      <c r="AC97" s="1243"/>
    </row>
    <row r="98" ht="15.75" spans="1:29">
      <c r="A98" s="1399"/>
      <c r="B98" s="1406">
        <f>B31</f>
        <v>111</v>
      </c>
      <c r="C98" s="1410"/>
      <c r="D98" s="1410"/>
      <c r="E98" s="1410"/>
      <c r="F98" s="1410"/>
      <c r="G98" s="1428"/>
      <c r="H98" s="1428"/>
      <c r="I98" s="1428"/>
      <c r="J98" s="1428"/>
      <c r="K98" s="1481"/>
      <c r="L98" s="1482"/>
      <c r="M98" s="1483"/>
      <c r="N98" s="1448"/>
      <c r="O98" s="1448"/>
      <c r="P98" s="1767"/>
      <c r="Q98" s="1370"/>
      <c r="R98" s="1243"/>
      <c r="S98" s="1243"/>
      <c r="T98" s="1243"/>
      <c r="U98" s="1243"/>
      <c r="V98" s="1243"/>
      <c r="W98" s="1243"/>
      <c r="X98" s="1243"/>
      <c r="Y98" s="1243"/>
      <c r="Z98" s="1243"/>
      <c r="AA98" s="1243"/>
      <c r="AB98" s="1243"/>
      <c r="AC98" s="1243"/>
    </row>
    <row r="99" ht="15.75" spans="1:29">
      <c r="A99" s="1708"/>
      <c r="B99" s="1416"/>
      <c r="C99" s="1417"/>
      <c r="D99" s="1417"/>
      <c r="E99" s="1417"/>
      <c r="F99" s="1417"/>
      <c r="G99" s="1429"/>
      <c r="H99" s="1429"/>
      <c r="I99" s="1429"/>
      <c r="J99" s="1429"/>
      <c r="K99" s="1429"/>
      <c r="L99" s="1429"/>
      <c r="M99" s="1484"/>
      <c r="N99" s="1451"/>
      <c r="O99" s="1451"/>
      <c r="P99" s="1767"/>
      <c r="Q99" s="1370"/>
      <c r="R99" s="1243"/>
      <c r="S99" s="1243"/>
      <c r="T99" s="1243"/>
      <c r="U99" s="1243"/>
      <c r="V99" s="1243"/>
      <c r="W99" s="1243"/>
      <c r="X99" s="1243"/>
      <c r="Y99" s="1243"/>
      <c r="Z99" s="1243"/>
      <c r="AA99" s="1243"/>
      <c r="AB99" s="1243"/>
      <c r="AC99" s="1243"/>
    </row>
    <row r="100" spans="1:29">
      <c r="A100" s="1397" t="s">
        <v>1377</v>
      </c>
      <c r="B100" s="1398" t="s">
        <v>1604</v>
      </c>
      <c r="C100" s="1325"/>
      <c r="D100" s="1325"/>
      <c r="E100" s="1325"/>
      <c r="F100" s="1325"/>
      <c r="G100" s="1325"/>
      <c r="H100" s="1325"/>
      <c r="I100" s="1325"/>
      <c r="J100" s="1325"/>
      <c r="K100" s="1445"/>
      <c r="L100" s="1446"/>
      <c r="M100" s="1447"/>
      <c r="N100" s="1448"/>
      <c r="O100" s="1448"/>
      <c r="P100" s="1767"/>
      <c r="Q100" s="1370"/>
      <c r="R100" s="1243"/>
      <c r="S100" s="1243"/>
      <c r="T100" s="1243"/>
      <c r="U100" s="1243"/>
      <c r="V100" s="1243"/>
      <c r="W100" s="1243"/>
      <c r="X100" s="1243"/>
      <c r="Y100" s="1243"/>
      <c r="Z100" s="1243"/>
      <c r="AA100" s="1243"/>
      <c r="AB100" s="1243"/>
      <c r="AC100" s="1243"/>
    </row>
    <row r="101" ht="15.7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67"/>
      <c r="Q101" s="1370"/>
      <c r="R101" s="1243"/>
      <c r="S101" s="1243"/>
      <c r="T101" s="1243"/>
      <c r="U101" s="1243"/>
      <c r="V101" s="1243"/>
      <c r="W101" s="1243"/>
      <c r="X101" s="1243"/>
      <c r="Y101" s="1243"/>
      <c r="Z101" s="1243"/>
      <c r="AA101" s="1243"/>
      <c r="AB101" s="1243"/>
      <c r="AC101" s="1243"/>
    </row>
    <row r="102" ht="15.75" spans="1:29">
      <c r="A102" s="1399"/>
      <c r="B102" s="1402" t="s">
        <v>1382</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67"/>
      <c r="Q102" s="1370"/>
      <c r="R102" s="1243"/>
      <c r="S102" s="1243"/>
      <c r="T102" s="1243"/>
      <c r="U102" s="1243"/>
      <c r="V102" s="1243"/>
      <c r="W102" s="1243"/>
      <c r="X102" s="1243"/>
      <c r="Y102" s="1243"/>
      <c r="Z102" s="1243"/>
      <c r="AA102" s="1243"/>
      <c r="AB102" s="1243"/>
      <c r="AC102" s="1243"/>
    </row>
    <row r="103" s="1117" customFormat="1" ht="15" spans="1:29">
      <c r="A103" s="1430"/>
      <c r="B103" s="1431"/>
      <c r="C103" s="1386"/>
      <c r="D103" s="1386"/>
      <c r="E103" s="1386"/>
      <c r="F103" s="1386"/>
      <c r="G103" s="1386"/>
      <c r="H103" s="1386"/>
      <c r="I103" s="1386"/>
      <c r="J103" s="1485"/>
      <c r="K103" s="1485"/>
      <c r="L103" s="1486"/>
      <c r="M103" s="1487"/>
      <c r="N103" s="1461"/>
      <c r="O103" s="1461"/>
      <c r="P103" s="1772"/>
      <c r="Q103" s="1493"/>
      <c r="R103" s="1494"/>
      <c r="S103" s="1494"/>
      <c r="T103" s="1494"/>
      <c r="U103" s="1494"/>
      <c r="V103" s="1494"/>
      <c r="W103" s="1494"/>
      <c r="X103" s="1494"/>
      <c r="Y103" s="1494"/>
      <c r="Z103" s="1494"/>
      <c r="AA103" s="1494"/>
      <c r="AB103" s="1494"/>
      <c r="AC103" s="1494"/>
    </row>
    <row r="104" s="1117" customFormat="1" ht="15.75" spans="1:29">
      <c r="A104" s="1409"/>
      <c r="B104" s="1404"/>
      <c r="C104" s="1412"/>
      <c r="D104" s="1401"/>
      <c r="E104" s="1401"/>
      <c r="F104" s="1401"/>
      <c r="G104" s="1401"/>
      <c r="H104" s="1401"/>
      <c r="I104" s="1401"/>
      <c r="J104" s="1401"/>
      <c r="K104" s="1401"/>
      <c r="L104" s="1401"/>
      <c r="M104" s="1450"/>
      <c r="N104" s="1451"/>
      <c r="O104" s="1451"/>
      <c r="P104" s="1772"/>
      <c r="Q104" s="1493"/>
      <c r="R104" s="1494"/>
      <c r="S104" s="1494"/>
      <c r="T104" s="1494"/>
      <c r="U104" s="1494"/>
      <c r="V104" s="1494"/>
      <c r="W104" s="1494"/>
      <c r="X104" s="1494"/>
      <c r="Y104" s="1494"/>
      <c r="Z104" s="1494"/>
      <c r="AA104" s="1494"/>
      <c r="AB104" s="1494"/>
      <c r="AC104" s="1494"/>
    </row>
    <row r="105" ht="15.75" spans="1:29">
      <c r="A105" s="1433"/>
      <c r="B105" s="1402" t="s">
        <v>1383</v>
      </c>
      <c r="C105" s="1410"/>
      <c r="D105" s="1410"/>
      <c r="E105" s="1427"/>
      <c r="F105" s="1427"/>
      <c r="G105" s="1427"/>
      <c r="H105" s="1427"/>
      <c r="I105" s="1427"/>
      <c r="J105" s="1427"/>
      <c r="K105" s="1478"/>
      <c r="L105" s="1479"/>
      <c r="M105" s="1480"/>
      <c r="N105" s="1448"/>
      <c r="O105" s="1448"/>
      <c r="P105" s="1767"/>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67"/>
      <c r="Q106" s="1370"/>
      <c r="R106" s="1243"/>
      <c r="S106" s="1243"/>
      <c r="T106" s="1243"/>
      <c r="U106" s="1243"/>
      <c r="V106" s="1243"/>
      <c r="W106" s="1243"/>
      <c r="X106" s="1243"/>
      <c r="Y106" s="1243"/>
      <c r="Z106" s="1243"/>
      <c r="AA106" s="1243"/>
      <c r="AB106" s="1243"/>
      <c r="AC106" s="1243"/>
    </row>
    <row r="107" ht="15.75" spans="1:29">
      <c r="A107" s="1433"/>
      <c r="B107" s="1402" t="s">
        <v>1386</v>
      </c>
      <c r="C107" s="1410"/>
      <c r="D107" s="1410"/>
      <c r="E107" s="1410"/>
      <c r="F107" s="1427"/>
      <c r="G107" s="1427"/>
      <c r="H107" s="1427"/>
      <c r="I107" s="1427"/>
      <c r="J107" s="1427"/>
      <c r="K107" s="1478"/>
      <c r="L107" s="1479"/>
      <c r="M107" s="1480"/>
      <c r="N107" s="1448"/>
      <c r="O107" s="1448"/>
      <c r="P107" s="1767"/>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67"/>
      <c r="Q108" s="1370"/>
      <c r="R108" s="1243"/>
      <c r="S108" s="1243"/>
      <c r="T108" s="1243"/>
      <c r="U108" s="1243"/>
      <c r="V108" s="1243"/>
      <c r="W108" s="1243"/>
      <c r="X108" s="1243"/>
      <c r="Y108" s="1243"/>
      <c r="Z108" s="1243"/>
      <c r="AA108" s="1243"/>
      <c r="AB108" s="1243"/>
      <c r="AC108" s="1243"/>
    </row>
    <row r="109" ht="15.75" spans="1:29">
      <c r="A109" s="1433"/>
      <c r="B109" s="1402" t="s">
        <v>634</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67"/>
      <c r="Q109" s="1370"/>
      <c r="R109" s="1243"/>
      <c r="S109" s="1243"/>
      <c r="T109" s="1243"/>
      <c r="U109" s="1243"/>
      <c r="V109" s="1243"/>
      <c r="W109" s="1243"/>
      <c r="X109" s="1243"/>
      <c r="Y109" s="1243"/>
      <c r="Z109" s="1243"/>
      <c r="AA109" s="1243"/>
      <c r="AB109" s="1243"/>
      <c r="AC109" s="1243"/>
    </row>
    <row r="110" ht="15" spans="1:29">
      <c r="A110" s="1433"/>
      <c r="B110" s="1406"/>
      <c r="C110" s="879">
        <v>0.5</v>
      </c>
      <c r="D110" s="879">
        <v>0.6</v>
      </c>
      <c r="E110" s="879">
        <v>0.7</v>
      </c>
      <c r="F110" s="879">
        <v>0.8</v>
      </c>
      <c r="G110" s="879">
        <v>0.9</v>
      </c>
      <c r="H110" s="879">
        <v>1.0001</v>
      </c>
      <c r="I110" s="1666"/>
      <c r="J110" s="1666"/>
      <c r="K110" s="1667"/>
      <c r="L110" s="1668"/>
      <c r="M110" s="1669"/>
      <c r="N110" s="1448"/>
      <c r="O110" s="1448"/>
      <c r="P110" s="1767"/>
      <c r="Q110" s="1370"/>
      <c r="R110" s="1243"/>
      <c r="S110" s="1243"/>
      <c r="T110" s="1243"/>
      <c r="U110" s="1243"/>
      <c r="V110" s="1243"/>
      <c r="W110" s="1243"/>
      <c r="X110" s="1243"/>
      <c r="Y110" s="1243"/>
      <c r="Z110" s="1243"/>
      <c r="AA110" s="1243"/>
      <c r="AB110" s="1243"/>
      <c r="AC110" s="1243"/>
    </row>
    <row r="111" ht="15.7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67"/>
      <c r="Q111" s="1370"/>
      <c r="R111" s="1243"/>
      <c r="S111" s="1243"/>
      <c r="T111" s="1243"/>
      <c r="U111" s="1243"/>
      <c r="V111" s="1243"/>
      <c r="W111" s="1243"/>
      <c r="X111" s="1243"/>
      <c r="Y111" s="1243"/>
      <c r="Z111" s="1243"/>
      <c r="AA111" s="1243"/>
      <c r="AB111" s="1243"/>
      <c r="AC111" s="1243"/>
    </row>
    <row r="112" s="1117" customFormat="1" ht="15.75" spans="1:29">
      <c r="A112" s="1430"/>
      <c r="B112" s="1402" t="s">
        <v>1390</v>
      </c>
      <c r="C112" s="1410"/>
      <c r="D112" s="1410"/>
      <c r="E112" s="1410"/>
      <c r="F112" s="1410"/>
      <c r="G112" s="1410"/>
      <c r="H112" s="1427"/>
      <c r="I112" s="1427"/>
      <c r="J112" s="1427"/>
      <c r="K112" s="1478"/>
      <c r="L112" s="1479"/>
      <c r="M112" s="1480"/>
      <c r="N112" s="1461"/>
      <c r="O112" s="1461"/>
      <c r="P112" s="1772"/>
      <c r="Q112" s="1493"/>
      <c r="R112" s="1494"/>
      <c r="S112" s="1494"/>
      <c r="T112" s="1494"/>
      <c r="U112" s="1494"/>
      <c r="V112" s="1494"/>
      <c r="W112" s="1494"/>
      <c r="X112" s="1494"/>
      <c r="Y112" s="1494"/>
      <c r="Z112" s="1494"/>
      <c r="AA112" s="1494"/>
      <c r="AB112" s="1494"/>
      <c r="AC112" s="1494"/>
    </row>
    <row r="113" s="1117" customFormat="1" ht="15.7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72"/>
      <c r="Q113" s="1493"/>
      <c r="R113" s="1494"/>
      <c r="S113" s="1494"/>
      <c r="T113" s="1494"/>
      <c r="U113" s="1494"/>
      <c r="V113" s="1494"/>
      <c r="W113" s="1494"/>
      <c r="X113" s="1494"/>
      <c r="Y113" s="1494"/>
      <c r="Z113" s="1494"/>
      <c r="AA113" s="1494"/>
      <c r="AB113" s="1494"/>
      <c r="AC113" s="1494"/>
    </row>
    <row r="114" ht="15.75" spans="1:29">
      <c r="A114" s="1433"/>
      <c r="B114" s="1402" t="s">
        <v>1605</v>
      </c>
      <c r="C114" s="1410"/>
      <c r="D114" s="1410"/>
      <c r="E114" s="1427"/>
      <c r="F114" s="1427"/>
      <c r="G114" s="1427"/>
      <c r="H114" s="1427"/>
      <c r="I114" s="1427"/>
      <c r="J114" s="1427"/>
      <c r="K114" s="1478"/>
      <c r="L114" s="1479"/>
      <c r="M114" s="1480"/>
      <c r="N114" s="1448"/>
      <c r="O114" s="1448"/>
      <c r="P114" s="1767"/>
      <c r="Q114" s="1370"/>
      <c r="R114" s="1243"/>
      <c r="S114" s="1243"/>
      <c r="T114" s="1243"/>
      <c r="U114" s="1243"/>
      <c r="V114" s="1243"/>
      <c r="W114" s="1243"/>
      <c r="X114" s="1243"/>
      <c r="Y114" s="1243"/>
      <c r="Z114" s="1243"/>
      <c r="AA114" s="1243"/>
      <c r="AB114" s="1243"/>
      <c r="AC114" s="1243"/>
    </row>
    <row r="115" ht="15.7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67"/>
      <c r="Q115" s="1370"/>
      <c r="R115" s="1243"/>
      <c r="S115" s="1243"/>
      <c r="T115" s="1243"/>
      <c r="U115" s="1243"/>
      <c r="V115" s="1243"/>
      <c r="W115" s="1243"/>
      <c r="X115" s="1243"/>
      <c r="Y115" s="1243"/>
      <c r="Z115" s="1243"/>
      <c r="AA115" s="1243"/>
      <c r="AB115" s="1243"/>
      <c r="AC115" s="1243"/>
    </row>
    <row r="116" ht="15.75" spans="1:29">
      <c r="A116" s="1433"/>
      <c r="B116" s="1402" t="s">
        <v>1606</v>
      </c>
      <c r="C116" s="1410"/>
      <c r="D116" s="1410"/>
      <c r="E116" s="1410"/>
      <c r="F116" s="1410"/>
      <c r="G116" s="1410"/>
      <c r="H116" s="1427"/>
      <c r="I116" s="1427"/>
      <c r="J116" s="1427"/>
      <c r="K116" s="1478"/>
      <c r="L116" s="1479"/>
      <c r="M116" s="1480"/>
      <c r="N116" s="1448"/>
      <c r="O116" s="1448"/>
      <c r="P116" s="1767"/>
      <c r="Q116" s="1370"/>
      <c r="R116" s="1243"/>
      <c r="S116" s="1243"/>
      <c r="T116" s="1243"/>
      <c r="U116" s="1243"/>
      <c r="V116" s="1243"/>
      <c r="W116" s="1243"/>
      <c r="X116" s="1243"/>
      <c r="Y116" s="1243"/>
      <c r="Z116" s="1243"/>
      <c r="AA116" s="1243"/>
      <c r="AB116" s="1243"/>
      <c r="AC116" s="1243"/>
    </row>
    <row r="117" ht="15.7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67"/>
      <c r="Q117" s="1370"/>
      <c r="R117" s="1243"/>
      <c r="S117" s="1243"/>
      <c r="T117" s="1243"/>
      <c r="U117" s="1243"/>
      <c r="V117" s="1243"/>
      <c r="W117" s="1243"/>
      <c r="X117" s="1243"/>
      <c r="Y117" s="1243"/>
      <c r="Z117" s="1243"/>
      <c r="AA117" s="1243"/>
      <c r="AB117" s="1243"/>
      <c r="AC117" s="1243"/>
    </row>
    <row r="118" ht="15.75" spans="1:29">
      <c r="A118" s="1433"/>
      <c r="B118" s="1402" t="s">
        <v>1607</v>
      </c>
      <c r="C118" s="1771"/>
      <c r="D118" s="1771"/>
      <c r="E118" s="1771"/>
      <c r="F118" s="1771"/>
      <c r="G118" s="1771"/>
      <c r="H118" s="1411"/>
      <c r="I118" s="1411"/>
      <c r="J118" s="1411"/>
      <c r="K118" s="1411"/>
      <c r="L118" s="1459"/>
      <c r="M118" s="1460"/>
      <c r="N118" s="1448"/>
      <c r="O118" s="1448"/>
      <c r="P118" s="1767"/>
      <c r="Q118" s="1370"/>
      <c r="R118" s="1243"/>
      <c r="S118" s="1243"/>
      <c r="T118" s="1243"/>
      <c r="U118" s="1243"/>
      <c r="V118" s="1243"/>
      <c r="W118" s="1243"/>
      <c r="X118" s="1243"/>
      <c r="Y118" s="1243"/>
      <c r="Z118" s="1243"/>
      <c r="AA118" s="1243"/>
      <c r="AB118" s="1243"/>
      <c r="AC118" s="1243"/>
    </row>
    <row r="119" ht="15.75" spans="1:29">
      <c r="A119" s="1399"/>
      <c r="B119" s="1404"/>
      <c r="C119" s="1412"/>
      <c r="D119" s="1401"/>
      <c r="E119" s="1401"/>
      <c r="F119" s="1401"/>
      <c r="G119" s="1401"/>
      <c r="H119" s="1401"/>
      <c r="I119" s="1401"/>
      <c r="J119" s="1401"/>
      <c r="K119" s="1401"/>
      <c r="L119" s="1401"/>
      <c r="M119" s="1450"/>
      <c r="N119" s="1451"/>
      <c r="O119" s="1451"/>
      <c r="P119" s="1767"/>
      <c r="Q119" s="1370"/>
      <c r="R119" s="1243"/>
      <c r="S119" s="1243"/>
      <c r="T119" s="1243"/>
      <c r="U119" s="1243"/>
      <c r="V119" s="1243"/>
      <c r="W119" s="1243"/>
      <c r="X119" s="1243"/>
      <c r="Y119" s="1243"/>
      <c r="Z119" s="1243"/>
      <c r="AA119" s="1243"/>
      <c r="AB119" s="1243"/>
      <c r="AC119" s="1243"/>
    </row>
    <row r="120" s="1117" customFormat="1" ht="15.75" spans="1:29">
      <c r="A120" s="1430"/>
      <c r="B120" s="1402" t="s">
        <v>1609</v>
      </c>
      <c r="C120" s="1427"/>
      <c r="D120" s="1427"/>
      <c r="E120" s="1427"/>
      <c r="F120" s="1427"/>
      <c r="G120" s="1411"/>
      <c r="H120" s="1411"/>
      <c r="I120" s="1411"/>
      <c r="J120" s="1411"/>
      <c r="K120" s="1411"/>
      <c r="L120" s="1459"/>
      <c r="M120" s="1460"/>
      <c r="N120" s="1461"/>
      <c r="O120" s="1461"/>
      <c r="P120" s="1772"/>
      <c r="Q120" s="1493"/>
      <c r="R120" s="1494"/>
      <c r="S120" s="1494"/>
      <c r="T120" s="1494"/>
      <c r="U120" s="1494"/>
      <c r="V120" s="1494"/>
      <c r="W120" s="1494"/>
      <c r="X120" s="1494"/>
      <c r="Y120" s="1494"/>
      <c r="Z120" s="1494"/>
      <c r="AA120" s="1494"/>
      <c r="AB120" s="1494"/>
      <c r="AC120" s="1494"/>
    </row>
    <row r="121" s="1117" customFormat="1" ht="15.7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72"/>
      <c r="Q121" s="1493"/>
      <c r="R121" s="1494"/>
      <c r="S121" s="1494"/>
      <c r="T121" s="1494"/>
      <c r="U121" s="1494"/>
      <c r="V121" s="1494"/>
      <c r="W121" s="1494"/>
      <c r="X121" s="1494"/>
      <c r="Y121" s="1494"/>
      <c r="Z121" s="1494"/>
      <c r="AA121" s="1494"/>
      <c r="AB121" s="1494"/>
      <c r="AC121" s="1494"/>
    </row>
    <row r="122" ht="15.75" spans="1:29">
      <c r="A122" s="1433"/>
      <c r="B122" s="1402" t="s">
        <v>1393</v>
      </c>
      <c r="C122" s="1410"/>
      <c r="D122" s="1410"/>
      <c r="E122" s="1410"/>
      <c r="F122" s="1427"/>
      <c r="G122" s="1427"/>
      <c r="H122" s="1427"/>
      <c r="I122" s="1427"/>
      <c r="J122" s="1427"/>
      <c r="K122" s="1478"/>
      <c r="L122" s="1479"/>
      <c r="M122" s="1480"/>
      <c r="N122" s="1448"/>
      <c r="O122" s="1448"/>
      <c r="P122" s="1767"/>
      <c r="Q122" s="1370"/>
      <c r="R122" s="1243"/>
      <c r="S122" s="1243"/>
      <c r="T122" s="1243"/>
      <c r="U122" s="1243"/>
      <c r="V122" s="1243"/>
      <c r="W122" s="1243"/>
      <c r="X122" s="1243"/>
      <c r="Y122" s="1243"/>
      <c r="Z122" s="1243"/>
      <c r="AA122" s="1243"/>
      <c r="AB122" s="1243"/>
      <c r="AC122" s="1243"/>
    </row>
    <row r="123" ht="15.7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67"/>
      <c r="Q123" s="1370"/>
      <c r="R123" s="1243"/>
      <c r="S123" s="1243"/>
      <c r="T123" s="1243"/>
      <c r="U123" s="1243"/>
      <c r="V123" s="1243"/>
      <c r="W123" s="1243"/>
      <c r="X123" s="1243"/>
      <c r="Y123" s="1243"/>
      <c r="Z123" s="1243"/>
      <c r="AA123" s="1243"/>
      <c r="AB123" s="1243"/>
      <c r="AC123" s="1243"/>
    </row>
    <row r="124" ht="15.75" spans="1:29">
      <c r="A124" s="1433"/>
      <c r="B124" s="1402" t="s">
        <v>1396</v>
      </c>
      <c r="C124" s="1421" t="s">
        <v>1410</v>
      </c>
      <c r="D124" s="1421" t="s">
        <v>1411</v>
      </c>
      <c r="E124" s="1421" t="s">
        <v>1412</v>
      </c>
      <c r="F124" s="1421" t="s">
        <v>1413</v>
      </c>
      <c r="G124" s="1421" t="s">
        <v>1414</v>
      </c>
      <c r="H124" s="1403"/>
      <c r="I124" s="1403"/>
      <c r="J124" s="1403"/>
      <c r="K124" s="1452"/>
      <c r="L124" s="1453"/>
      <c r="M124" s="1454"/>
      <c r="N124" s="1448"/>
      <c r="O124" s="1448"/>
      <c r="P124" s="1772"/>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67"/>
      <c r="Q125" s="1370"/>
      <c r="R125" s="1243"/>
      <c r="S125" s="1243"/>
      <c r="T125" s="1243"/>
      <c r="U125" s="1243"/>
      <c r="V125" s="1243"/>
      <c r="W125" s="1243"/>
      <c r="X125" s="1243"/>
      <c r="Y125" s="1243"/>
      <c r="Z125" s="1243"/>
      <c r="AA125" s="1243"/>
      <c r="AB125" s="1243"/>
      <c r="AC125" s="1243"/>
    </row>
    <row r="126" s="1117" customFormat="1" ht="15.75" spans="1:29">
      <c r="A126" s="1430"/>
      <c r="B126" s="1402">
        <f>B44</f>
        <v>111</v>
      </c>
      <c r="C126" s="1410"/>
      <c r="D126" s="1410"/>
      <c r="E126" s="1410"/>
      <c r="F126" s="1410"/>
      <c r="G126" s="1410"/>
      <c r="H126" s="1411"/>
      <c r="I126" s="1411"/>
      <c r="J126" s="1411"/>
      <c r="K126" s="1411"/>
      <c r="L126" s="1459"/>
      <c r="M126" s="1460"/>
      <c r="N126" s="1461"/>
      <c r="O126" s="1461"/>
      <c r="P126" s="1772"/>
      <c r="Q126" s="1493"/>
      <c r="R126" s="1494"/>
      <c r="S126" s="1494"/>
      <c r="T126" s="1494"/>
      <c r="U126" s="1494"/>
      <c r="V126" s="1494"/>
      <c r="W126" s="1494"/>
      <c r="X126" s="1494"/>
      <c r="Y126" s="1494"/>
      <c r="Z126" s="1494"/>
      <c r="AA126" s="1494"/>
      <c r="AB126" s="1494"/>
      <c r="AC126" s="1494"/>
    </row>
    <row r="127" s="1117" customFormat="1" ht="15.75" spans="1:29">
      <c r="A127" s="1409"/>
      <c r="B127" s="1404"/>
      <c r="C127" s="1412"/>
      <c r="D127" s="1401"/>
      <c r="E127" s="1401"/>
      <c r="F127" s="1401"/>
      <c r="G127" s="1412"/>
      <c r="H127" s="1413"/>
      <c r="I127" s="1413"/>
      <c r="J127" s="1413"/>
      <c r="K127" s="1413"/>
      <c r="L127" s="1413"/>
      <c r="M127" s="1463"/>
      <c r="N127" s="1461"/>
      <c r="O127" s="1461"/>
      <c r="P127" s="1772"/>
      <c r="Q127" s="1493"/>
      <c r="R127" s="1494"/>
      <c r="S127" s="1494"/>
      <c r="T127" s="1494"/>
      <c r="U127" s="1494"/>
      <c r="V127" s="1494"/>
      <c r="W127" s="1494"/>
      <c r="X127" s="1494"/>
      <c r="Y127" s="1494"/>
      <c r="Z127" s="1494"/>
      <c r="AA127" s="1494"/>
      <c r="AB127" s="1494"/>
      <c r="AC127" s="1494"/>
    </row>
    <row r="128" ht="15.75" spans="1:29">
      <c r="A128" s="1433"/>
      <c r="B128" s="1402">
        <f>B45</f>
        <v>111</v>
      </c>
      <c r="C128" s="1410"/>
      <c r="D128" s="1410"/>
      <c r="E128" s="1410"/>
      <c r="F128" s="1410"/>
      <c r="G128" s="1427"/>
      <c r="H128" s="1427"/>
      <c r="I128" s="1427"/>
      <c r="J128" s="1427"/>
      <c r="K128" s="1478"/>
      <c r="L128" s="1479"/>
      <c r="M128" s="1480"/>
      <c r="N128" s="1448"/>
      <c r="O128" s="1448"/>
      <c r="P128" s="1767"/>
      <c r="Q128" s="1370"/>
      <c r="R128" s="1243"/>
      <c r="S128" s="1243"/>
      <c r="T128" s="1243"/>
      <c r="U128" s="1243"/>
      <c r="V128" s="1243"/>
      <c r="W128" s="1243"/>
      <c r="X128" s="1243"/>
      <c r="Y128" s="1243"/>
      <c r="Z128" s="1243"/>
      <c r="AA128" s="1243"/>
      <c r="AB128" s="1243"/>
      <c r="AC128" s="1243"/>
    </row>
    <row r="129" ht="15.75" spans="1:29">
      <c r="A129" s="1399"/>
      <c r="B129" s="1404"/>
      <c r="C129" s="1412"/>
      <c r="D129" s="1401"/>
      <c r="E129" s="1401"/>
      <c r="F129" s="1401"/>
      <c r="G129" s="1401"/>
      <c r="H129" s="1401"/>
      <c r="I129" s="1401"/>
      <c r="J129" s="1401"/>
      <c r="K129" s="1401"/>
      <c r="L129" s="1401"/>
      <c r="M129" s="1450"/>
      <c r="N129" s="1451"/>
      <c r="O129" s="1451"/>
      <c r="P129" s="1767"/>
      <c r="Q129" s="1370"/>
      <c r="R129" s="1243"/>
      <c r="S129" s="1243"/>
      <c r="T129" s="1243"/>
      <c r="U129" s="1243"/>
      <c r="V129" s="1243"/>
      <c r="W129" s="1243"/>
      <c r="X129" s="1243"/>
      <c r="Y129" s="1243"/>
      <c r="Z129" s="1243"/>
      <c r="AA129" s="1243"/>
      <c r="AB129" s="1243"/>
      <c r="AC129" s="1243"/>
    </row>
    <row r="130" ht="15.75" spans="1:29">
      <c r="A130" s="1433"/>
      <c r="B130" s="1406">
        <f>B46</f>
        <v>111</v>
      </c>
      <c r="C130" s="1410"/>
      <c r="D130" s="1410"/>
      <c r="E130" s="1410"/>
      <c r="F130" s="1410"/>
      <c r="G130" s="1428"/>
      <c r="H130" s="1428"/>
      <c r="I130" s="1428"/>
      <c r="J130" s="1428"/>
      <c r="K130" s="1394"/>
      <c r="L130" s="1440"/>
      <c r="M130" s="1483"/>
      <c r="N130" s="1448"/>
      <c r="O130" s="1448"/>
      <c r="P130" s="1767"/>
      <c r="Q130" s="1370"/>
      <c r="R130" s="1243"/>
      <c r="S130" s="1243"/>
      <c r="T130" s="1243"/>
      <c r="U130" s="1243"/>
      <c r="V130" s="1243"/>
      <c r="W130" s="1243"/>
      <c r="X130" s="1243"/>
      <c r="Y130" s="1243"/>
      <c r="Z130" s="1243"/>
      <c r="AA130" s="1243"/>
      <c r="AB130" s="1243"/>
      <c r="AC130" s="1243"/>
    </row>
    <row r="131" ht="15.75" spans="1:29">
      <c r="A131" s="1708"/>
      <c r="B131" s="1416"/>
      <c r="C131" s="1417"/>
      <c r="D131" s="1417"/>
      <c r="E131" s="1417"/>
      <c r="F131" s="1417"/>
      <c r="G131" s="1429"/>
      <c r="H131" s="1429"/>
      <c r="I131" s="1429"/>
      <c r="J131" s="1429"/>
      <c r="K131" s="1429"/>
      <c r="L131" s="1429"/>
      <c r="M131" s="1484"/>
      <c r="N131" s="1451"/>
      <c r="O131" s="1451"/>
      <c r="P131" s="176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6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1610</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f ca="1">IF(C2="——",C50,ROUND(B2*10000/D3,0))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726" t="s">
        <v>1339</v>
      </c>
      <c r="Q4" s="1736"/>
      <c r="R4" s="1737" t="s">
        <v>1335</v>
      </c>
      <c r="S4" s="1738"/>
      <c r="T4" s="1737" t="s">
        <v>1336</v>
      </c>
      <c r="U4" s="1738"/>
      <c r="V4" s="1256" t="s">
        <v>1337</v>
      </c>
      <c r="W4" s="1256"/>
      <c r="X4" s="1739"/>
      <c r="Y4" s="1737" t="s">
        <v>1339</v>
      </c>
      <c r="Z4" s="1738"/>
      <c r="AA4" s="1739" t="s">
        <v>1335</v>
      </c>
      <c r="AB4" s="1739" t="s">
        <v>1336</v>
      </c>
      <c r="AC4" s="1743" t="s">
        <v>1337</v>
      </c>
    </row>
    <row r="5" ht="15" spans="1:29">
      <c r="A5" s="1140"/>
      <c r="B5" s="1141"/>
      <c r="C5" s="1142" t="s">
        <v>1340</v>
      </c>
      <c r="D5" s="1143"/>
      <c r="E5" s="1144" t="s">
        <v>1596</v>
      </c>
      <c r="F5" s="1145"/>
      <c r="G5" s="1142" t="s">
        <v>1597</v>
      </c>
      <c r="H5" s="1143"/>
      <c r="I5" s="1142" t="s">
        <v>1598</v>
      </c>
      <c r="J5" s="1143"/>
      <c r="K5" s="1294"/>
      <c r="L5" s="1295"/>
      <c r="M5" s="1296"/>
      <c r="N5" s="1296"/>
      <c r="O5" s="1296"/>
      <c r="P5" s="1727"/>
      <c r="Q5" s="1350"/>
      <c r="R5" s="1351"/>
      <c r="S5" s="1352"/>
      <c r="T5" s="1351"/>
      <c r="U5" s="1352"/>
      <c r="V5" s="1336"/>
      <c r="W5" s="1336"/>
      <c r="X5" s="1349"/>
      <c r="Y5" s="1351"/>
      <c r="Z5" s="1352"/>
      <c r="AA5" s="1349"/>
      <c r="AB5" s="1349"/>
      <c r="AC5" s="1627"/>
    </row>
    <row r="6" ht="15.75" spans="1:29">
      <c r="A6" s="1146"/>
      <c r="B6" s="1147"/>
      <c r="C6" s="1497" t="s">
        <v>1342</v>
      </c>
      <c r="D6" s="1498"/>
      <c r="E6" s="1499" t="s">
        <v>1342</v>
      </c>
      <c r="F6" s="1500"/>
      <c r="G6" s="1497" t="s">
        <v>1342</v>
      </c>
      <c r="H6" s="1498"/>
      <c r="I6" s="1497" t="s">
        <v>1342</v>
      </c>
      <c r="J6" s="1498"/>
      <c r="K6" s="1294" t="s">
        <v>1346</v>
      </c>
      <c r="L6" s="1295"/>
      <c r="M6" s="1296"/>
      <c r="N6" s="1296"/>
      <c r="O6" s="1296"/>
      <c r="P6" s="1728"/>
      <c r="Q6" s="1353"/>
      <c r="R6" s="1351"/>
      <c r="S6" s="1352"/>
      <c r="T6" s="1354"/>
      <c r="U6" s="1355"/>
      <c r="V6" s="1336"/>
      <c r="W6" s="1336"/>
      <c r="X6" s="1349"/>
      <c r="Y6" s="1354"/>
      <c r="Z6" s="1355"/>
      <c r="AA6" s="1375"/>
      <c r="AB6" s="1375"/>
      <c r="AC6" s="1744"/>
    </row>
    <row r="7" s="1115" customFormat="1" ht="15.75" spans="1:29">
      <c r="A7" s="1152" t="s">
        <v>1347</v>
      </c>
      <c r="B7" s="1153"/>
      <c r="C7" s="1154">
        <f>'数据-取费表'!B2</f>
        <v>45069</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745" t="e">
        <f>D7/J7</f>
        <v>#DIV/0!</v>
      </c>
    </row>
    <row r="8" s="1115" customFormat="1" ht="15.75" spans="1:29">
      <c r="A8" s="1152" t="s">
        <v>1350</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1352</v>
      </c>
      <c r="Q8" s="1360"/>
      <c r="R8" s="1357" t="s">
        <v>1349</v>
      </c>
      <c r="S8" s="1358">
        <f t="shared" si="0"/>
        <v>100</v>
      </c>
      <c r="T8" s="1357" t="s">
        <v>1349</v>
      </c>
      <c r="U8" s="1358">
        <f t="shared" si="1"/>
        <v>100</v>
      </c>
      <c r="V8" s="1357" t="s">
        <v>1349</v>
      </c>
      <c r="W8" s="1358">
        <f t="shared" si="2"/>
        <v>100</v>
      </c>
      <c r="X8" s="1359"/>
      <c r="Y8" s="1303" t="s">
        <v>1352</v>
      </c>
      <c r="Z8" s="1360"/>
      <c r="AA8" s="1376">
        <f t="shared" ref="AA8:AA47" si="3">D8/F8</f>
        <v>1</v>
      </c>
      <c r="AB8" s="1376">
        <f t="shared" ref="AB8:AB47" si="4">D8/H8</f>
        <v>1</v>
      </c>
      <c r="AC8" s="1745">
        <f t="shared" ref="AC8:AC47" si="5">D8/J8</f>
        <v>1</v>
      </c>
    </row>
    <row r="9" s="1115" customFormat="1" spans="1:29">
      <c r="A9" s="1160" t="s">
        <v>1353</v>
      </c>
      <c r="B9" s="1161" t="s">
        <v>1354</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745">
        <f t="shared" si="5"/>
        <v>1</v>
      </c>
    </row>
    <row r="10" s="1116" customFormat="1" ht="27" spans="1:29">
      <c r="A10" s="1164"/>
      <c r="B10" s="1165" t="s">
        <v>1357</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1358</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745">
        <f t="shared" si="5"/>
        <v>1</v>
      </c>
    </row>
    <row r="15" ht="68.25" spans="1:29">
      <c r="A15" s="1182" t="s">
        <v>1359</v>
      </c>
      <c r="B15" s="1183" t="s">
        <v>1611</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1361</v>
      </c>
      <c r="Q15" s="700" t="str">
        <f t="shared" si="6"/>
        <v>办公集聚程度</v>
      </c>
      <c r="R15" s="1362" t="s">
        <v>1349</v>
      </c>
      <c r="S15" s="1363">
        <f t="shared" si="0"/>
        <v>100</v>
      </c>
      <c r="T15" s="1362" t="s">
        <v>1349</v>
      </c>
      <c r="U15" s="1363">
        <f t="shared" si="1"/>
        <v>100</v>
      </c>
      <c r="V15" s="1362" t="s">
        <v>1349</v>
      </c>
      <c r="W15" s="1363">
        <f t="shared" si="2"/>
        <v>100</v>
      </c>
      <c r="X15" s="1349"/>
      <c r="Y15" s="1314" t="s">
        <v>1361</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67.5" spans="1:29">
      <c r="A17" s="1168"/>
      <c r="B17" s="1192" t="s">
        <v>1363</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0.5" spans="1:29">
      <c r="A19" s="1168"/>
      <c r="B19" s="1192" t="s">
        <v>1364</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7" spans="1:29">
      <c r="A21" s="1168"/>
      <c r="B21" s="1199" t="s">
        <v>1366</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40.5" spans="1:29">
      <c r="A23" s="1168"/>
      <c r="B23" s="1192" t="s">
        <v>1612</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7" spans="1:29">
      <c r="A25" s="1140"/>
      <c r="B25" s="1192" t="s">
        <v>1613</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1349</v>
      </c>
      <c r="S25" s="1363">
        <f>F25</f>
        <v>100</v>
      </c>
      <c r="T25" s="1362" t="s">
        <v>1349</v>
      </c>
      <c r="U25" s="1363">
        <f>H25</f>
        <v>100</v>
      </c>
      <c r="V25" s="1362" t="s">
        <v>1349</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1603</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1349</v>
      </c>
      <c r="S27" s="1363">
        <f>F27</f>
        <v>100</v>
      </c>
      <c r="T27" s="1362" t="s">
        <v>1349</v>
      </c>
      <c r="U27" s="1363">
        <f>H27</f>
        <v>100</v>
      </c>
      <c r="V27" s="1362" t="s">
        <v>1349</v>
      </c>
      <c r="W27" s="1363">
        <f>J27</f>
        <v>100</v>
      </c>
      <c r="X27" s="1349"/>
      <c r="Y27" s="1315"/>
      <c r="Z27" s="1336" t="str">
        <f>Q27</f>
        <v>楼层</v>
      </c>
      <c r="AA27" s="1378">
        <f t="shared" si="3"/>
        <v>1</v>
      </c>
      <c r="AB27" s="1378">
        <f t="shared" si="4"/>
        <v>1</v>
      </c>
      <c r="AC27" s="1746">
        <f t="shared" si="5"/>
        <v>1</v>
      </c>
    </row>
    <row r="28" s="1115" customFormat="1" ht="15" spans="1:29">
      <c r="A28" s="1171"/>
      <c r="B28" s="1192" t="s">
        <v>1369</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1349</v>
      </c>
      <c r="S28" s="1358">
        <f>F28</f>
        <v>100</v>
      </c>
      <c r="T28" s="1357" t="s">
        <v>1349</v>
      </c>
      <c r="U28" s="1358">
        <f>H28</f>
        <v>100</v>
      </c>
      <c r="V28" s="1357" t="s">
        <v>1349</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1349</v>
      </c>
      <c r="S29" s="1363">
        <f t="shared" ref="S29:S47" si="12">F29</f>
        <v>100</v>
      </c>
      <c r="T29" s="1362" t="s">
        <v>1349</v>
      </c>
      <c r="U29" s="1363">
        <f t="shared" ref="U29:U47" si="13">H29</f>
        <v>100</v>
      </c>
      <c r="V29" s="1362" t="s">
        <v>1349</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1349</v>
      </c>
      <c r="S32" s="1363">
        <f t="shared" si="12"/>
        <v>100</v>
      </c>
      <c r="T32" s="1362" t="s">
        <v>1349</v>
      </c>
      <c r="U32" s="1363">
        <f t="shared" si="13"/>
        <v>100</v>
      </c>
      <c r="V32" s="1362" t="s">
        <v>1349</v>
      </c>
      <c r="W32" s="1363">
        <f t="shared" si="14"/>
        <v>100</v>
      </c>
      <c r="X32" s="1349"/>
      <c r="Y32" s="1315"/>
      <c r="Z32" s="1336">
        <f t="shared" si="15"/>
        <v>111</v>
      </c>
      <c r="AA32" s="1378">
        <f t="shared" si="3"/>
        <v>1</v>
      </c>
      <c r="AB32" s="1378">
        <f t="shared" si="4"/>
        <v>1</v>
      </c>
      <c r="AC32" s="1746">
        <f t="shared" si="5"/>
        <v>1</v>
      </c>
    </row>
    <row r="33" ht="15" spans="1:29">
      <c r="A33" s="1182" t="s">
        <v>1377</v>
      </c>
      <c r="B33" s="1161" t="s">
        <v>1378</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1381</v>
      </c>
      <c r="Q33" s="700" t="str">
        <f t="shared" si="11"/>
        <v>建筑类型</v>
      </c>
      <c r="R33" s="1362" t="s">
        <v>1349</v>
      </c>
      <c r="S33" s="1363">
        <f t="shared" si="12"/>
        <v>100</v>
      </c>
      <c r="T33" s="1362" t="s">
        <v>1349</v>
      </c>
      <c r="U33" s="1363">
        <f t="shared" si="13"/>
        <v>100</v>
      </c>
      <c r="V33" s="1362" t="s">
        <v>1349</v>
      </c>
      <c r="W33" s="1363">
        <f t="shared" si="14"/>
        <v>100</v>
      </c>
      <c r="X33" s="1349"/>
      <c r="Y33" s="1324" t="s">
        <v>1381</v>
      </c>
      <c r="Z33" s="1336" t="str">
        <f t="shared" si="15"/>
        <v>建筑类型</v>
      </c>
      <c r="AA33" s="1378">
        <f t="shared" si="3"/>
        <v>1</v>
      </c>
      <c r="AB33" s="1378">
        <f t="shared" si="4"/>
        <v>1</v>
      </c>
      <c r="AC33" s="1746">
        <f t="shared" si="5"/>
        <v>1</v>
      </c>
    </row>
    <row r="34" s="1117" customFormat="1" ht="15" spans="1:29">
      <c r="A34" s="1224"/>
      <c r="B34" s="1165" t="s">
        <v>1382</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1349</v>
      </c>
      <c r="S34" s="1365" t="e">
        <f t="shared" si="12"/>
        <v>#N/A</v>
      </c>
      <c r="T34" s="1364" t="s">
        <v>1349</v>
      </c>
      <c r="U34" s="1365" t="e">
        <f t="shared" si="13"/>
        <v>#N/A</v>
      </c>
      <c r="V34" s="1364" t="s">
        <v>1349</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1383</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1349</v>
      </c>
      <c r="S35" s="1363">
        <f t="shared" si="12"/>
        <v>100</v>
      </c>
      <c r="T35" s="1362" t="s">
        <v>1349</v>
      </c>
      <c r="U35" s="1363">
        <f t="shared" si="13"/>
        <v>100</v>
      </c>
      <c r="V35" s="1362" t="s">
        <v>1349</v>
      </c>
      <c r="W35" s="1363">
        <f t="shared" si="14"/>
        <v>100</v>
      </c>
      <c r="X35" s="1349"/>
      <c r="Y35" s="1324"/>
      <c r="Z35" s="1336" t="str">
        <f t="shared" si="15"/>
        <v>建筑结构</v>
      </c>
      <c r="AA35" s="1378">
        <f t="shared" si="3"/>
        <v>1</v>
      </c>
      <c r="AB35" s="1378">
        <f t="shared" si="4"/>
        <v>1</v>
      </c>
      <c r="AC35" s="1746">
        <f t="shared" si="5"/>
        <v>1</v>
      </c>
    </row>
    <row r="36" ht="15" spans="1:29">
      <c r="A36" s="1219"/>
      <c r="B36" s="1165" t="s">
        <v>1386</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634</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1349</v>
      </c>
      <c r="S37" s="1363" t="e">
        <f t="shared" si="12"/>
        <v>#N/A</v>
      </c>
      <c r="T37" s="1362" t="s">
        <v>1349</v>
      </c>
      <c r="U37" s="1363" t="e">
        <f t="shared" si="13"/>
        <v>#N/A</v>
      </c>
      <c r="V37" s="1362" t="s">
        <v>1349</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1614</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1349</v>
      </c>
      <c r="S38" s="1358">
        <f t="shared" si="12"/>
        <v>100</v>
      </c>
      <c r="T38" s="1357" t="s">
        <v>1349</v>
      </c>
      <c r="U38" s="1358">
        <f t="shared" si="13"/>
        <v>100</v>
      </c>
      <c r="V38" s="1357" t="s">
        <v>1349</v>
      </c>
      <c r="W38" s="1358">
        <f t="shared" si="14"/>
        <v>100</v>
      </c>
      <c r="X38" s="1359"/>
      <c r="Y38" s="1324"/>
      <c r="Z38" s="1377" t="str">
        <f t="shared" si="15"/>
        <v>写字楼等级</v>
      </c>
      <c r="AA38" s="1376">
        <f t="shared" si="3"/>
        <v>1</v>
      </c>
      <c r="AB38" s="1376">
        <f t="shared" si="4"/>
        <v>1</v>
      </c>
      <c r="AC38" s="1745">
        <f t="shared" si="5"/>
        <v>1</v>
      </c>
    </row>
    <row r="39" ht="15" spans="1:29">
      <c r="A39" s="1219"/>
      <c r="B39" s="1165" t="s">
        <v>1388</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1381</v>
      </c>
      <c r="Q39" s="700" t="str">
        <f t="shared" si="11"/>
        <v>物业管理</v>
      </c>
      <c r="R39" s="1362" t="s">
        <v>1349</v>
      </c>
      <c r="S39" s="1363">
        <f t="shared" si="12"/>
        <v>100</v>
      </c>
      <c r="T39" s="1362" t="s">
        <v>1349</v>
      </c>
      <c r="U39" s="1363">
        <f t="shared" si="13"/>
        <v>100</v>
      </c>
      <c r="V39" s="1362" t="s">
        <v>1349</v>
      </c>
      <c r="W39" s="1363">
        <f t="shared" si="14"/>
        <v>100</v>
      </c>
      <c r="X39" s="1349"/>
      <c r="Y39" s="1324" t="s">
        <v>1381</v>
      </c>
      <c r="Z39" s="1336" t="str">
        <f t="shared" si="15"/>
        <v>物业管理</v>
      </c>
      <c r="AA39" s="1378">
        <f t="shared" si="3"/>
        <v>1</v>
      </c>
      <c r="AB39" s="1378">
        <f t="shared" si="4"/>
        <v>1</v>
      </c>
      <c r="AC39" s="1746">
        <f t="shared" si="5"/>
        <v>1</v>
      </c>
    </row>
    <row r="40" ht="15" spans="1:29">
      <c r="A40" s="1219"/>
      <c r="B40" s="1165" t="s">
        <v>1390</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1349</v>
      </c>
      <c r="S40" s="1363">
        <f t="shared" si="12"/>
        <v>100</v>
      </c>
      <c r="T40" s="1362" t="s">
        <v>1349</v>
      </c>
      <c r="U40" s="1363">
        <f t="shared" si="13"/>
        <v>100</v>
      </c>
      <c r="V40" s="1362" t="s">
        <v>1349</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1606</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1349</v>
      </c>
      <c r="S41" s="1363">
        <f t="shared" si="12"/>
        <v>100</v>
      </c>
      <c r="T41" s="1362" t="s">
        <v>1349</v>
      </c>
      <c r="U41" s="1363">
        <f t="shared" si="13"/>
        <v>100</v>
      </c>
      <c r="V41" s="1362" t="s">
        <v>1349</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1615</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1349</v>
      </c>
      <c r="S42" s="1365">
        <f t="shared" si="12"/>
        <v>100</v>
      </c>
      <c r="T42" s="1364" t="s">
        <v>1349</v>
      </c>
      <c r="U42" s="1365">
        <f t="shared" si="13"/>
        <v>100</v>
      </c>
      <c r="V42" s="1364" t="s">
        <v>1349</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1393</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1349</v>
      </c>
      <c r="S43" s="1363">
        <f t="shared" si="12"/>
        <v>100</v>
      </c>
      <c r="T43" s="1362" t="s">
        <v>1349</v>
      </c>
      <c r="U43" s="1363">
        <f t="shared" si="13"/>
        <v>100</v>
      </c>
      <c r="V43" s="1362" t="s">
        <v>1349</v>
      </c>
      <c r="W43" s="1363">
        <f t="shared" si="14"/>
        <v>100</v>
      </c>
      <c r="X43" s="1349"/>
      <c r="Y43" s="1324"/>
      <c r="Z43" s="1336" t="str">
        <f t="shared" si="15"/>
        <v>内部装修</v>
      </c>
      <c r="AA43" s="1378">
        <f t="shared" si="3"/>
        <v>1</v>
      </c>
      <c r="AB43" s="1378">
        <f t="shared" si="4"/>
        <v>1</v>
      </c>
      <c r="AC43" s="1746">
        <f t="shared" si="5"/>
        <v>1</v>
      </c>
    </row>
    <row r="44" ht="15" spans="1:29">
      <c r="A44" s="1219"/>
      <c r="B44" s="1165" t="s">
        <v>1396</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1349</v>
      </c>
      <c r="S44" s="1363">
        <f t="shared" si="12"/>
        <v>100</v>
      </c>
      <c r="T44" s="1362" t="s">
        <v>1349</v>
      </c>
      <c r="U44" s="1363">
        <f t="shared" si="13"/>
        <v>100</v>
      </c>
      <c r="V44" s="1362" t="s">
        <v>1349</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1349</v>
      </c>
      <c r="S45" s="1358">
        <f t="shared" si="12"/>
        <v>100</v>
      </c>
      <c r="T45" s="1357" t="s">
        <v>1349</v>
      </c>
      <c r="U45" s="1358">
        <f t="shared" si="13"/>
        <v>100</v>
      </c>
      <c r="V45" s="1357" t="s">
        <v>1349</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1349</v>
      </c>
      <c r="S46" s="1363">
        <f t="shared" si="12"/>
        <v>100</v>
      </c>
      <c r="T46" s="1362" t="s">
        <v>1349</v>
      </c>
      <c r="U46" s="1363">
        <f t="shared" si="13"/>
        <v>100</v>
      </c>
      <c r="V46" s="1362" t="s">
        <v>1349</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1349</v>
      </c>
      <c r="S47" s="1363">
        <f t="shared" si="12"/>
        <v>100</v>
      </c>
      <c r="T47" s="1362" t="s">
        <v>1349</v>
      </c>
      <c r="U47" s="1363">
        <f t="shared" si="13"/>
        <v>100</v>
      </c>
      <c r="V47" s="1362" t="s">
        <v>1349</v>
      </c>
      <c r="W47" s="1363">
        <f t="shared" si="14"/>
        <v>100</v>
      </c>
      <c r="X47" s="1349"/>
      <c r="Y47" s="1690"/>
      <c r="Z47" s="1336">
        <f t="shared" si="15"/>
        <v>111</v>
      </c>
      <c r="AA47" s="1378">
        <f t="shared" si="3"/>
        <v>1</v>
      </c>
      <c r="AB47" s="1378">
        <f t="shared" si="4"/>
        <v>1</v>
      </c>
      <c r="AC47" s="1746">
        <f t="shared" si="5"/>
        <v>1</v>
      </c>
    </row>
    <row r="48" ht="15" spans="1:29">
      <c r="A48" s="1226" t="s">
        <v>1399</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75" spans="1:29">
      <c r="A49" s="1234" t="s">
        <v>1400</v>
      </c>
      <c r="B49" s="1581"/>
      <c r="C49" s="1582" t="e">
        <f>R50</f>
        <v>#DIV/0!</v>
      </c>
      <c r="D49" s="1237" t="s">
        <v>1401</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75" spans="1:29">
      <c r="A50" s="1240" t="s">
        <v>1402</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1403</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1404</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1405</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 spans="1:29">
      <c r="A58" s="1283" t="s">
        <v>1406</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5" spans="1:29">
      <c r="A59" s="1586" t="s">
        <v>1347</v>
      </c>
      <c r="B59" s="1587"/>
      <c r="C59" s="1588" t="str">
        <f>YEAR(C7)&amp;"-"&amp;MONTH(C7)</f>
        <v>2023-5</v>
      </c>
      <c r="D59" s="1589">
        <f>EDATE(C59,-1)</f>
        <v>45017</v>
      </c>
      <c r="E59" s="1589">
        <f>EDATE(D59,-1)</f>
        <v>44986</v>
      </c>
      <c r="F59" s="1589">
        <f t="shared" ref="F59:O59" si="16">EDATE(E59,-1)</f>
        <v>44958</v>
      </c>
      <c r="G59" s="1589">
        <f t="shared" si="16"/>
        <v>44927</v>
      </c>
      <c r="H59" s="1589">
        <f t="shared" si="16"/>
        <v>44896</v>
      </c>
      <c r="I59" s="1589">
        <f t="shared" si="16"/>
        <v>44866</v>
      </c>
      <c r="J59" s="1589">
        <f t="shared" si="16"/>
        <v>44835</v>
      </c>
      <c r="K59" s="1589">
        <f t="shared" si="16"/>
        <v>44805</v>
      </c>
      <c r="L59" s="1589">
        <f t="shared" si="16"/>
        <v>44774</v>
      </c>
      <c r="M59" s="1589">
        <f t="shared" si="16"/>
        <v>44743</v>
      </c>
      <c r="N59" s="1589">
        <f t="shared" si="16"/>
        <v>44713</v>
      </c>
      <c r="O59" s="1589">
        <f t="shared" si="16"/>
        <v>44682</v>
      </c>
      <c r="P59" s="1655"/>
      <c r="Q59" s="1491"/>
      <c r="R59" s="1491"/>
      <c r="S59" s="1491"/>
      <c r="T59" s="1491"/>
      <c r="U59" s="1491"/>
      <c r="V59" s="1491"/>
      <c r="W59" s="1491"/>
      <c r="X59" s="1491"/>
      <c r="Y59" s="1491"/>
      <c r="Z59" s="1491"/>
      <c r="AA59" s="1491"/>
      <c r="AB59" s="1491"/>
      <c r="AC59" s="1491"/>
    </row>
    <row r="60" s="1115" customFormat="1" ht="15"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75" spans="1:29">
      <c r="A61" s="1387" t="s">
        <v>1407</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5" spans="1:29">
      <c r="A62" s="1391" t="s">
        <v>1350</v>
      </c>
      <c r="B62" s="1392"/>
      <c r="C62" s="1393" t="s">
        <v>1408</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5.7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spans="1:29">
      <c r="A64" s="1397" t="s">
        <v>1409</v>
      </c>
      <c r="B64" s="1398" t="s">
        <v>1354</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5.7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7.75" spans="1:29">
      <c r="A66" s="1399"/>
      <c r="B66" s="1402" t="s">
        <v>1357</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5.7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75" spans="1:29">
      <c r="A68" s="1399"/>
      <c r="B68" s="1406" t="s">
        <v>1358</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ht="15"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5.7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5.7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5.7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5.7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5.7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5.7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5.7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spans="1:29">
      <c r="A77" s="1397" t="s">
        <v>1359</v>
      </c>
      <c r="B77" s="1398" t="s">
        <v>1611</v>
      </c>
      <c r="C77" s="1419" t="s">
        <v>1410</v>
      </c>
      <c r="D77" s="1419" t="s">
        <v>1411</v>
      </c>
      <c r="E77" s="1419" t="s">
        <v>1412</v>
      </c>
      <c r="F77" s="1419" t="s">
        <v>1413</v>
      </c>
      <c r="G77" s="1419" t="s">
        <v>1414</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5.7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75" spans="1:29">
      <c r="A79" s="1399"/>
      <c r="B79" s="1402" t="s">
        <v>1363</v>
      </c>
      <c r="C79" s="1421" t="s">
        <v>1410</v>
      </c>
      <c r="D79" s="1421" t="s">
        <v>1411</v>
      </c>
      <c r="E79" s="1421" t="s">
        <v>1412</v>
      </c>
      <c r="F79" s="1421" t="s">
        <v>1413</v>
      </c>
      <c r="G79" s="1421" t="s">
        <v>1414</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75" spans="1:29">
      <c r="A81" s="1399"/>
      <c r="B81" s="1402" t="s">
        <v>1364</v>
      </c>
      <c r="C81" s="1421" t="s">
        <v>1410</v>
      </c>
      <c r="D81" s="1421" t="s">
        <v>1411</v>
      </c>
      <c r="E81" s="1421" t="s">
        <v>1412</v>
      </c>
      <c r="F81" s="1421" t="s">
        <v>1413</v>
      </c>
      <c r="G81" s="1421" t="s">
        <v>1414</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5.7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75" spans="1:29">
      <c r="A83" s="1399"/>
      <c r="B83" s="1406" t="s">
        <v>1366</v>
      </c>
      <c r="C83" s="1426" t="s">
        <v>1415</v>
      </c>
      <c r="D83" s="1426" t="s">
        <v>1416</v>
      </c>
      <c r="E83" s="1426" t="s">
        <v>1417</v>
      </c>
      <c r="F83" s="1426" t="s">
        <v>1418</v>
      </c>
      <c r="G83" s="1426" t="s">
        <v>1419</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5.7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75" spans="1:29">
      <c r="A85" s="1399"/>
      <c r="B85" s="1402" t="s">
        <v>1612</v>
      </c>
      <c r="C85" s="1421" t="s">
        <v>1410</v>
      </c>
      <c r="D85" s="1421" t="s">
        <v>1411</v>
      </c>
      <c r="E85" s="1421" t="s">
        <v>1412</v>
      </c>
      <c r="F85" s="1421" t="s">
        <v>1413</v>
      </c>
      <c r="G85" s="1421" t="s">
        <v>1414</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5.7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7.75" spans="1:29">
      <c r="A87" s="1422"/>
      <c r="B87" s="1402" t="s">
        <v>1613</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5.7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7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5.7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7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5.7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5.7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5.7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5.7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5.7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5.7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5.7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5.7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spans="1:29">
      <c r="A101" s="1397" t="s">
        <v>1377</v>
      </c>
      <c r="B101" s="1398" t="s">
        <v>1378</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75" spans="1:29">
      <c r="A103" s="1399"/>
      <c r="B103" s="1402" t="s">
        <v>1382</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ht="15"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5.7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75" spans="1:29">
      <c r="A106" s="1433"/>
      <c r="B106" s="1402" t="s">
        <v>1383</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5.7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75" spans="1:29">
      <c r="A108" s="1433"/>
      <c r="B108" s="1402" t="s">
        <v>1386</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5.7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75" spans="1:29">
      <c r="A110" s="1433"/>
      <c r="B110" s="1402" t="s">
        <v>634</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ht="15"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5.7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75" spans="1:29">
      <c r="A113" s="1430"/>
      <c r="B113" s="1402" t="s">
        <v>1614</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5.7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75" spans="1:29">
      <c r="A115" s="1433"/>
      <c r="B115" s="1402" t="s">
        <v>1388</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5.7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75" spans="1:29">
      <c r="A117" s="1433"/>
      <c r="B117" s="1402" t="s">
        <v>1390</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5.7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75" spans="1:29">
      <c r="A119" s="1433"/>
      <c r="B119" s="1602" t="s">
        <v>1616</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5.7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75" spans="1:29">
      <c r="A121" s="1430"/>
      <c r="B121" s="1402" t="s">
        <v>1607</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5.7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75" spans="1:29">
      <c r="A123" s="1433"/>
      <c r="B123" s="1402" t="s">
        <v>1393</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5.7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15.75" spans="1:29">
      <c r="A125" s="1433"/>
      <c r="B125" s="1402" t="s">
        <v>1396</v>
      </c>
      <c r="C125" s="1421" t="s">
        <v>1410</v>
      </c>
      <c r="D125" s="1421" t="s">
        <v>1411</v>
      </c>
      <c r="E125" s="1421" t="s">
        <v>1412</v>
      </c>
      <c r="F125" s="1421" t="s">
        <v>1413</v>
      </c>
      <c r="G125" s="1421" t="s">
        <v>1414</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5.7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5.7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5.7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5.7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5.7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5.7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5.7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D49">
      <formula1>"简单平均,加权平均"</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2" customWidth="1"/>
    <col min="2" max="16384" width="9" style="972"/>
  </cols>
  <sheetData>
    <row r="1" ht="22.5" spans="1:1">
      <c r="A1" s="3689" t="s">
        <v>82</v>
      </c>
    </row>
    <row r="2" spans="1:1">
      <c r="A2" s="3690"/>
    </row>
    <row r="3" ht="18" spans="1:1">
      <c r="A3" s="3691" t="str">
        <f>项目基本情况!B5&amp;"："</f>
        <v>：</v>
      </c>
    </row>
    <row r="4" ht="18.75" spans="1:1">
      <c r="A4" s="3692" t="str">
        <f>"受贵公司委托，我公司对"&amp;项目基本情况!S1&amp;"进行了预评估。"</f>
        <v>受贵公司委托，我公司对北京市房地产市场价值进行了预评估。</v>
      </c>
    </row>
    <row r="5" ht="18.75" spans="1:1">
      <c r="A5" s="3693" t="s">
        <v>83</v>
      </c>
    </row>
    <row r="6" ht="18.75" spans="1:1">
      <c r="A6" s="3694" t="s">
        <v>84</v>
      </c>
    </row>
    <row r="7" ht="37.5" spans="1:1">
      <c r="A7" s="36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估价对象为北京市房地产，为所有。根据《国有土地使用证》[]，估价对象（分摊）出让国有建设用地使用权面积为0平方米，建筑面积为211.57平方米。</v>
      </c>
    </row>
    <row r="8" ht="56.25" spans="1:1">
      <c r="A8" s="3695" t="s">
        <v>85</v>
      </c>
    </row>
    <row r="9" ht="18.75" spans="1:1">
      <c r="A9" s="3694" t="s">
        <v>86</v>
      </c>
    </row>
    <row r="10" ht="56.25" spans="1:1">
      <c r="A10" s="369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估价对象为北京市房地产,属开发建设的，该项目尚在开发建设中。根据《国有土地使用证》[]，估价对象（分摊）出让国有建设用地使用权面积为0平方米，规划建筑面积为211.57平方米。</v>
      </c>
    </row>
    <row r="11" ht="75" spans="1:1">
      <c r="A11" s="3695" t="s">
        <v>87</v>
      </c>
    </row>
    <row r="12" ht="18.75" spans="1:1">
      <c r="A12" s="3693" t="s">
        <v>88</v>
      </c>
    </row>
    <row r="13" ht="38.25" customHeight="1" spans="1:1">
      <c r="A13" s="3696" t="str">
        <f>IF(项目基本情况!B8="抵押",IF(项目基本情况!B5=项目基本情况!B6,定义!C51,定义!B51),定义!D51)</f>
        <v>为估价委托人了解估价对象房地产市场价值提供参考依据。</v>
      </c>
    </row>
    <row r="14" ht="18.75" spans="1:1">
      <c r="A14" s="3697" t="s">
        <v>89</v>
      </c>
    </row>
    <row r="15" ht="18" spans="1:1">
      <c r="A15" s="3698" t="str">
        <f>TEXT(项目基本情况!D3,"yyyy年m月d日;;")&amp;IF(项目基本情况!D3=项目基本情况!B3,"（评估专业人员实地查勘之日）","")</f>
        <v>2023年5月23日（评估专业人员实地查勘之日）</v>
      </c>
    </row>
    <row r="16" ht="18.75" spans="1:1">
      <c r="A16" s="3697" t="s">
        <v>90</v>
      </c>
    </row>
    <row r="17" ht="75" spans="1:1">
      <c r="A17" s="3692" t="s">
        <v>91</v>
      </c>
    </row>
    <row r="18" ht="56.25" spans="1:1">
      <c r="A18" s="369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9" ht="157.5" customHeight="1" spans="1:1">
      <c r="A19" s="369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692" t="str">
        <f>IF(项目基本情况!B9="房地产市场价值","——",IF(项目基本情况!E8="房地产抵押价值",定义!C54,IF(项目基本情况!E8="已注销",定义!C55,定义!C56)))</f>
        <v>——</v>
      </c>
    </row>
    <row r="21" ht="18" spans="1:1">
      <c r="A21" s="36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692" t="str">
        <f>IF(项目基本情况!B9="房地产市场价值","——",IF(项目基本情况!E9="——","",定义!C57))</f>
        <v>——</v>
      </c>
    </row>
    <row r="23" ht="18.75" spans="1:1">
      <c r="A23" s="3697" t="s">
        <v>92</v>
      </c>
    </row>
    <row r="24" ht="18" spans="1:1">
      <c r="A24" s="3646" t="str">
        <f>"本次评估采用的主估价方法为"&amp;结果表!K4&amp;"和"&amp;结果表!L4&amp;"。"</f>
        <v>本次评估采用的主估价方法为收益法和比较法。</v>
      </c>
    </row>
    <row r="25" ht="18" spans="1:1">
      <c r="A25" s="3646"/>
    </row>
    <row r="26" ht="18.75" spans="1:1">
      <c r="A26" s="3699" t="s">
        <v>93</v>
      </c>
    </row>
    <row r="27" spans="1:1">
      <c r="A27" s="1779"/>
    </row>
    <row r="28" spans="1:1">
      <c r="A28" s="1779"/>
    </row>
    <row r="29" spans="1:1">
      <c r="A29" s="1779"/>
    </row>
    <row r="30" spans="1:1">
      <c r="A30" s="1779"/>
    </row>
    <row r="31" spans="1:1">
      <c r="A31" s="1779"/>
    </row>
    <row r="32" spans="1:1">
      <c r="A32" s="1779"/>
    </row>
    <row r="33" spans="1:1">
      <c r="A33" s="1779"/>
    </row>
    <row r="34" spans="1:1">
      <c r="A34" s="1779"/>
    </row>
    <row r="35" spans="1:1">
      <c r="A35" s="1779"/>
    </row>
    <row r="36" spans="1:1">
      <c r="A36" s="1779"/>
    </row>
    <row r="37" spans="1:1">
      <c r="A37" s="1779"/>
    </row>
    <row r="38" spans="1:1">
      <c r="A38" s="1779"/>
    </row>
    <row r="39" spans="1:1">
      <c r="A39" s="1779"/>
    </row>
    <row r="40" spans="1:1">
      <c r="A40" s="1779"/>
    </row>
    <row r="41" spans="1:1">
      <c r="A41" s="1779"/>
    </row>
    <row r="42" spans="1:1">
      <c r="A42" s="1779"/>
    </row>
    <row r="43" spans="1:1">
      <c r="A43" s="1779"/>
    </row>
    <row r="44" spans="1:1">
      <c r="A44" s="1779"/>
    </row>
    <row r="45" spans="1:1">
      <c r="A45" s="1779"/>
    </row>
    <row r="46" spans="1:1">
      <c r="A46" s="1779"/>
    </row>
    <row r="47" spans="1:1">
      <c r="A47" s="1779"/>
    </row>
    <row r="48" spans="1:1">
      <c r="A48" s="177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1617</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986</v>
      </c>
      <c r="B3" s="1132">
        <f ca="1">IF(C2="——",C43,ROUND(B2*10000/D3,0))</f>
        <v>0</v>
      </c>
      <c r="C3" s="1547" t="s">
        <v>1332</v>
      </c>
      <c r="D3" s="1548">
        <f>IF(D1="",'数据-汇总表'!E3,SUMIF('数据-汇总表'!$C19:$C33,D1,'数据-汇总表'!$E19:$E33))</f>
        <v>211.57</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677"/>
      <c r="M4" s="1678"/>
      <c r="N4" s="1678"/>
      <c r="O4" s="1678"/>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1596</v>
      </c>
      <c r="F5" s="1145"/>
      <c r="G5" s="1142" t="s">
        <v>1597</v>
      </c>
      <c r="H5" s="1143"/>
      <c r="I5" s="1142" t="s">
        <v>1598</v>
      </c>
      <c r="J5" s="1143"/>
      <c r="K5" s="1294"/>
      <c r="L5" s="1677"/>
      <c r="M5" s="1678"/>
      <c r="N5" s="1678"/>
      <c r="O5" s="1678"/>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677"/>
      <c r="M6" s="1678"/>
      <c r="N6" s="1678"/>
      <c r="O6" s="1678"/>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0" si="3">D8/F8</f>
        <v>1</v>
      </c>
      <c r="AB8" s="1376">
        <f t="shared" ref="AB8:AB40" si="4">D8/H8</f>
        <v>1</v>
      </c>
      <c r="AC8" s="1376">
        <f t="shared" ref="AC8:AC40" si="5">D8/J8</f>
        <v>1</v>
      </c>
    </row>
    <row r="9" s="1115" customFormat="1" spans="1:29">
      <c r="A9" s="1160" t="s">
        <v>1353</v>
      </c>
      <c r="B9" s="1161" t="s">
        <v>1354</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503" t="s">
        <v>1618</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67.5" spans="1:29">
      <c r="A23" s="1168"/>
      <c r="B23" s="1506" t="s">
        <v>1612</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1349</v>
      </c>
      <c r="S25" s="1363">
        <f>F25</f>
        <v>100</v>
      </c>
      <c r="T25" s="1362" t="s">
        <v>1349</v>
      </c>
      <c r="U25" s="1363">
        <f>H25</f>
        <v>100</v>
      </c>
      <c r="V25" s="1362" t="s">
        <v>1349</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1349</v>
      </c>
      <c r="S26" s="1363">
        <f>F26</f>
        <v>100</v>
      </c>
      <c r="T26" s="1362" t="s">
        <v>1349</v>
      </c>
      <c r="U26" s="1363">
        <f>H26</f>
        <v>100</v>
      </c>
      <c r="V26" s="1362" t="s">
        <v>1349</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1349</v>
      </c>
      <c r="S27" s="1358">
        <f>F27</f>
        <v>100</v>
      </c>
      <c r="T27" s="1357" t="s">
        <v>1349</v>
      </c>
      <c r="U27" s="1358">
        <f>H27</f>
        <v>100</v>
      </c>
      <c r="V27" s="1357" t="s">
        <v>1349</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1349</v>
      </c>
      <c r="S28" s="1363">
        <f t="shared" ref="S28:S40" si="12">F28</f>
        <v>100</v>
      </c>
      <c r="T28" s="1362" t="s">
        <v>1349</v>
      </c>
      <c r="U28" s="1363">
        <f t="shared" ref="U28:U40" si="13">H28</f>
        <v>100</v>
      </c>
      <c r="V28" s="1362" t="s">
        <v>1349</v>
      </c>
      <c r="W28" s="1363">
        <f t="shared" ref="W28:W40" si="14">J28</f>
        <v>100</v>
      </c>
      <c r="X28" s="1349"/>
      <c r="Y28" s="1315"/>
      <c r="Z28" s="1336">
        <f t="shared" ref="Z28:Z40" si="15">Q28</f>
        <v>111</v>
      </c>
      <c r="AA28" s="1378">
        <f t="shared" si="3"/>
        <v>1</v>
      </c>
      <c r="AB28" s="1378">
        <f t="shared" si="4"/>
        <v>1</v>
      </c>
      <c r="AC28" s="1378">
        <f t="shared" si="5"/>
        <v>1</v>
      </c>
    </row>
    <row r="29" ht="28.5" spans="1:29">
      <c r="A29" s="1564" t="s">
        <v>1377</v>
      </c>
      <c r="B29" s="1161" t="s">
        <v>1378</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1381</v>
      </c>
      <c r="Q29" s="700" t="str">
        <f t="shared" si="11"/>
        <v>建筑类型</v>
      </c>
      <c r="R29" s="1362" t="s">
        <v>1349</v>
      </c>
      <c r="S29" s="1363">
        <f t="shared" si="12"/>
        <v>100</v>
      </c>
      <c r="T29" s="1362" t="s">
        <v>1349</v>
      </c>
      <c r="U29" s="1363">
        <f t="shared" si="13"/>
        <v>100</v>
      </c>
      <c r="V29" s="1362" t="s">
        <v>1349</v>
      </c>
      <c r="W29" s="1363">
        <f t="shared" si="14"/>
        <v>100</v>
      </c>
      <c r="X29" s="1349"/>
      <c r="Y29" s="1324" t="s">
        <v>1381</v>
      </c>
      <c r="Z29" s="1336" t="str">
        <f t="shared" si="15"/>
        <v>建筑类型</v>
      </c>
      <c r="AA29" s="1378">
        <f t="shared" si="3"/>
        <v>1</v>
      </c>
      <c r="AB29" s="1378">
        <f t="shared" si="4"/>
        <v>1</v>
      </c>
      <c r="AC29" s="1378">
        <f t="shared" si="5"/>
        <v>1</v>
      </c>
    </row>
    <row r="30" s="1117" customFormat="1" ht="15" spans="1:29">
      <c r="A30" s="1224"/>
      <c r="B30" s="1165" t="s">
        <v>1382</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1349</v>
      </c>
      <c r="S30" s="1365" t="e">
        <f t="shared" si="12"/>
        <v>#N/A</v>
      </c>
      <c r="T30" s="1364" t="s">
        <v>1349</v>
      </c>
      <c r="U30" s="1365" t="e">
        <f t="shared" si="13"/>
        <v>#N/A</v>
      </c>
      <c r="V30" s="1364" t="s">
        <v>1349</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1383</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1349</v>
      </c>
      <c r="S31" s="1363">
        <f t="shared" si="12"/>
        <v>100</v>
      </c>
      <c r="T31" s="1362" t="s">
        <v>1349</v>
      </c>
      <c r="U31" s="1363">
        <f t="shared" si="13"/>
        <v>100</v>
      </c>
      <c r="V31" s="1362" t="s">
        <v>1349</v>
      </c>
      <c r="W31" s="1363">
        <f t="shared" si="14"/>
        <v>100</v>
      </c>
      <c r="X31" s="1349"/>
      <c r="Y31" s="1324"/>
      <c r="Z31" s="1336" t="str">
        <f t="shared" si="15"/>
        <v>建筑结构</v>
      </c>
      <c r="AA31" s="1378">
        <f t="shared" si="3"/>
        <v>1</v>
      </c>
      <c r="AB31" s="1378">
        <f t="shared" si="4"/>
        <v>1</v>
      </c>
      <c r="AC31" s="1378">
        <f t="shared" si="5"/>
        <v>1</v>
      </c>
    </row>
    <row r="32" ht="15" spans="1:29">
      <c r="A32" s="1219"/>
      <c r="B32" s="1165" t="s">
        <v>1386</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1349</v>
      </c>
      <c r="S32" s="1363">
        <f t="shared" si="12"/>
        <v>100</v>
      </c>
      <c r="T32" s="1362" t="s">
        <v>1349</v>
      </c>
      <c r="U32" s="1363">
        <f t="shared" si="13"/>
        <v>100</v>
      </c>
      <c r="V32" s="1362" t="s">
        <v>1349</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634</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1349</v>
      </c>
      <c r="S33" s="1363" t="e">
        <f t="shared" si="12"/>
        <v>#N/A</v>
      </c>
      <c r="T33" s="1362" t="s">
        <v>1349</v>
      </c>
      <c r="U33" s="1363" t="e">
        <f t="shared" si="13"/>
        <v>#N/A</v>
      </c>
      <c r="V33" s="1362" t="s">
        <v>1349</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1388</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1349</v>
      </c>
      <c r="S34" s="1358">
        <f t="shared" si="12"/>
        <v>100</v>
      </c>
      <c r="T34" s="1357" t="s">
        <v>1349</v>
      </c>
      <c r="U34" s="1358">
        <f t="shared" si="13"/>
        <v>100</v>
      </c>
      <c r="V34" s="1357" t="s">
        <v>1349</v>
      </c>
      <c r="W34" s="1358">
        <f t="shared" si="14"/>
        <v>100</v>
      </c>
      <c r="X34" s="1359"/>
      <c r="Y34" s="1324"/>
      <c r="Z34" s="1377" t="str">
        <f t="shared" si="15"/>
        <v>物业管理</v>
      </c>
      <c r="AA34" s="1376">
        <f t="shared" si="3"/>
        <v>1</v>
      </c>
      <c r="AB34" s="1376">
        <f t="shared" si="4"/>
        <v>1</v>
      </c>
      <c r="AC34" s="1376">
        <f t="shared" si="5"/>
        <v>1</v>
      </c>
    </row>
    <row r="35" ht="15" spans="1:29">
      <c r="A35" s="1219"/>
      <c r="B35" s="1165" t="s">
        <v>1390</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1381</v>
      </c>
      <c r="Q35" s="700" t="str">
        <f t="shared" si="11"/>
        <v>市政基础设施</v>
      </c>
      <c r="R35" s="1362" t="s">
        <v>1349</v>
      </c>
      <c r="S35" s="1363">
        <f t="shared" si="12"/>
        <v>100</v>
      </c>
      <c r="T35" s="1362" t="s">
        <v>1349</v>
      </c>
      <c r="U35" s="1363">
        <f t="shared" si="13"/>
        <v>100</v>
      </c>
      <c r="V35" s="1362" t="s">
        <v>1349</v>
      </c>
      <c r="W35" s="1363">
        <f t="shared" si="14"/>
        <v>100</v>
      </c>
      <c r="X35" s="1349"/>
      <c r="Y35" s="1324" t="s">
        <v>1381</v>
      </c>
      <c r="Z35" s="1336" t="str">
        <f t="shared" si="15"/>
        <v>市政基础设施</v>
      </c>
      <c r="AA35" s="1378">
        <f t="shared" si="3"/>
        <v>1</v>
      </c>
      <c r="AB35" s="1378">
        <f t="shared" si="4"/>
        <v>1</v>
      </c>
      <c r="AC35" s="1378">
        <f t="shared" si="5"/>
        <v>1</v>
      </c>
    </row>
    <row r="36" ht="15" spans="1:29">
      <c r="A36" s="1219"/>
      <c r="B36" s="1165" t="s">
        <v>1393</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1349</v>
      </c>
      <c r="S36" s="1363">
        <f t="shared" si="12"/>
        <v>100</v>
      </c>
      <c r="T36" s="1362" t="s">
        <v>1349</v>
      </c>
      <c r="U36" s="1363">
        <f t="shared" si="13"/>
        <v>100</v>
      </c>
      <c r="V36" s="1362" t="s">
        <v>1349</v>
      </c>
      <c r="W36" s="1363">
        <f t="shared" si="14"/>
        <v>100</v>
      </c>
      <c r="X36" s="1349"/>
      <c r="Y36" s="1324"/>
      <c r="Z36" s="1336" t="str">
        <f t="shared" si="15"/>
        <v>内部装修</v>
      </c>
      <c r="AA36" s="1378">
        <f t="shared" si="3"/>
        <v>1</v>
      </c>
      <c r="AB36" s="1378">
        <f t="shared" si="4"/>
        <v>1</v>
      </c>
      <c r="AC36" s="1378">
        <f t="shared" si="5"/>
        <v>1</v>
      </c>
    </row>
    <row r="37" ht="15" spans="1:29">
      <c r="A37" s="1219"/>
      <c r="B37" s="1165" t="s">
        <v>1619</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1349</v>
      </c>
      <c r="S37" s="1363">
        <f t="shared" si="12"/>
        <v>100</v>
      </c>
      <c r="T37" s="1362" t="s">
        <v>1349</v>
      </c>
      <c r="U37" s="1363">
        <f t="shared" si="13"/>
        <v>100</v>
      </c>
      <c r="V37" s="1362" t="s">
        <v>1349</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1349</v>
      </c>
      <c r="S38" s="1365">
        <f t="shared" si="12"/>
        <v>100</v>
      </c>
      <c r="T38" s="1364" t="s">
        <v>1349</v>
      </c>
      <c r="U38" s="1365">
        <f t="shared" si="13"/>
        <v>100</v>
      </c>
      <c r="V38" s="1364" t="s">
        <v>1349</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1349</v>
      </c>
      <c r="S39" s="1363">
        <f t="shared" si="12"/>
        <v>100</v>
      </c>
      <c r="T39" s="1362" t="s">
        <v>1349</v>
      </c>
      <c r="U39" s="1363">
        <f t="shared" si="13"/>
        <v>100</v>
      </c>
      <c r="V39" s="1362" t="s">
        <v>1349</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1349</v>
      </c>
      <c r="S40" s="1363">
        <f t="shared" si="12"/>
        <v>100</v>
      </c>
      <c r="T40" s="1362" t="s">
        <v>1349</v>
      </c>
      <c r="U40" s="1363">
        <f t="shared" si="13"/>
        <v>100</v>
      </c>
      <c r="V40" s="1362" t="s">
        <v>1349</v>
      </c>
      <c r="W40" s="1363">
        <f t="shared" si="14"/>
        <v>100</v>
      </c>
      <c r="X40" s="1349"/>
      <c r="Y40" s="1690"/>
      <c r="Z40" s="1336">
        <f t="shared" si="15"/>
        <v>111</v>
      </c>
      <c r="AA40" s="1378">
        <f t="shared" si="3"/>
        <v>1</v>
      </c>
      <c r="AB40" s="1378">
        <f t="shared" si="4"/>
        <v>1</v>
      </c>
      <c r="AC40" s="1378">
        <f t="shared" si="5"/>
        <v>1</v>
      </c>
    </row>
    <row r="41" ht="15" spans="1:29">
      <c r="A41" s="1226" t="s">
        <v>1399</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75" spans="1:29">
      <c r="A42" s="1234" t="s">
        <v>1400</v>
      </c>
      <c r="B42" s="1581"/>
      <c r="C42" s="1582" t="e">
        <f>R43</f>
        <v>#DIV/0!</v>
      </c>
      <c r="D42" s="1237" t="s">
        <v>1401</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75" spans="1:29">
      <c r="A43" s="1240" t="s">
        <v>1402</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1403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1404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1405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 spans="1:17">
      <c r="A51" s="1283" t="s">
        <v>1406</v>
      </c>
      <c r="B51" s="1284"/>
      <c r="C51" s="1285"/>
      <c r="D51" s="1285"/>
      <c r="E51" s="1285"/>
      <c r="F51" s="1286"/>
      <c r="G51" s="1286"/>
      <c r="H51" s="1285"/>
      <c r="I51" s="1285"/>
      <c r="J51" s="1285"/>
      <c r="K51" s="1529"/>
      <c r="L51" s="1530"/>
      <c r="M51" s="1344"/>
      <c r="N51" s="1344"/>
      <c r="O51" s="1344"/>
      <c r="P51" s="1694"/>
      <c r="Q51" s="1696"/>
    </row>
    <row r="52" s="1120" customFormat="1" ht="15" spans="1:16">
      <c r="A52" s="1586" t="s">
        <v>1347</v>
      </c>
      <c r="B52" s="1587"/>
      <c r="C52" s="1588" t="str">
        <f>YEAR(C7)&amp;"-"&amp;MONTH(C7)</f>
        <v>2023-5</v>
      </c>
      <c r="D52" s="1589">
        <f>EDATE(C52,-1)</f>
        <v>45017</v>
      </c>
      <c r="E52" s="1589">
        <f t="shared" ref="E52:O52" si="16">EDATE(D52,-1)</f>
        <v>44986</v>
      </c>
      <c r="F52" s="1589">
        <f t="shared" si="16"/>
        <v>44958</v>
      </c>
      <c r="G52" s="1589">
        <f t="shared" si="16"/>
        <v>44927</v>
      </c>
      <c r="H52" s="1589">
        <f t="shared" si="16"/>
        <v>44896</v>
      </c>
      <c r="I52" s="1589">
        <f t="shared" si="16"/>
        <v>44866</v>
      </c>
      <c r="J52" s="1589">
        <f t="shared" si="16"/>
        <v>44835</v>
      </c>
      <c r="K52" s="1589">
        <f t="shared" si="16"/>
        <v>44805</v>
      </c>
      <c r="L52" s="1589">
        <f t="shared" si="16"/>
        <v>44774</v>
      </c>
      <c r="M52" s="1589">
        <f t="shared" si="16"/>
        <v>44743</v>
      </c>
      <c r="N52" s="1589">
        <f t="shared" si="16"/>
        <v>44713</v>
      </c>
      <c r="O52" s="1589">
        <f t="shared" si="16"/>
        <v>44682</v>
      </c>
      <c r="P52" s="1695"/>
    </row>
    <row r="53" s="1115" customFormat="1" ht="15" spans="1:16">
      <c r="A53" s="1590"/>
      <c r="B53" s="1392"/>
      <c r="C53" s="1591">
        <v>100</v>
      </c>
      <c r="D53" s="1396"/>
      <c r="E53" s="1396"/>
      <c r="F53" s="1396"/>
      <c r="G53" s="1396"/>
      <c r="H53" s="1396"/>
      <c r="I53" s="1396"/>
      <c r="J53" s="1396"/>
      <c r="K53" s="1396"/>
      <c r="L53" s="1396"/>
      <c r="M53" s="1598"/>
      <c r="N53" s="1396"/>
      <c r="O53" s="1444"/>
      <c r="P53" s="1696"/>
    </row>
    <row r="54" s="1115" customFormat="1" ht="15.75" spans="1:17">
      <c r="A54" s="1387" t="s">
        <v>1407</v>
      </c>
      <c r="B54" s="1388"/>
      <c r="C54" s="1389"/>
      <c r="D54" s="1390"/>
      <c r="E54" s="1390"/>
      <c r="F54" s="1390"/>
      <c r="G54" s="1390"/>
      <c r="H54" s="1390"/>
      <c r="I54" s="1390"/>
      <c r="J54" s="1390"/>
      <c r="K54" s="1390"/>
      <c r="L54" s="1390"/>
      <c r="M54" s="1438"/>
      <c r="N54" s="1697"/>
      <c r="O54" s="1698"/>
      <c r="P54" s="1696"/>
      <c r="Q54" s="1696"/>
    </row>
    <row r="55" s="1115" customFormat="1" ht="15" spans="1:17">
      <c r="A55" s="1391" t="s">
        <v>1350</v>
      </c>
      <c r="B55" s="1392"/>
      <c r="C55" s="1393" t="s">
        <v>1408</v>
      </c>
      <c r="D55" s="1394"/>
      <c r="E55" s="1394"/>
      <c r="F55" s="1394"/>
      <c r="G55" s="1394"/>
      <c r="H55" s="1394"/>
      <c r="I55" s="1394"/>
      <c r="J55" s="1394"/>
      <c r="K55" s="1394"/>
      <c r="L55" s="1440"/>
      <c r="M55" s="1441"/>
      <c r="N55" s="1699"/>
      <c r="O55" s="1699"/>
      <c r="P55" s="1700"/>
      <c r="Q55" s="1696"/>
    </row>
    <row r="56" s="1115" customFormat="1" ht="15.75" spans="1:17">
      <c r="A56" s="1391"/>
      <c r="B56" s="1392"/>
      <c r="C56" s="1395">
        <v>100</v>
      </c>
      <c r="D56" s="1396"/>
      <c r="E56" s="1396"/>
      <c r="F56" s="1396"/>
      <c r="G56" s="1396"/>
      <c r="H56" s="1396"/>
      <c r="I56" s="1396"/>
      <c r="J56" s="1396"/>
      <c r="K56" s="1396"/>
      <c r="L56" s="1396"/>
      <c r="M56" s="1444"/>
      <c r="N56" s="1699"/>
      <c r="O56" s="1699"/>
      <c r="P56" s="1696"/>
      <c r="Q56" s="1696"/>
    </row>
    <row r="57" spans="1:17">
      <c r="A57" s="1397" t="s">
        <v>1409</v>
      </c>
      <c r="B57" s="1398" t="s">
        <v>1354</v>
      </c>
      <c r="C57" s="1420">
        <f>C9</f>
        <v>0</v>
      </c>
      <c r="D57" s="1325"/>
      <c r="E57" s="1325"/>
      <c r="F57" s="1325"/>
      <c r="G57" s="1325"/>
      <c r="H57" s="1325"/>
      <c r="I57" s="1325"/>
      <c r="J57" s="1325"/>
      <c r="K57" s="1445"/>
      <c r="L57" s="1446"/>
      <c r="M57" s="1447"/>
      <c r="N57" s="1701"/>
      <c r="O57" s="1701"/>
      <c r="P57" s="1702"/>
      <c r="Q57" s="1696"/>
    </row>
    <row r="58" ht="15.75" spans="1:17">
      <c r="A58" s="1399"/>
      <c r="B58" s="1400"/>
      <c r="C58" s="1401">
        <v>100</v>
      </c>
      <c r="D58" s="1401"/>
      <c r="E58" s="1401"/>
      <c r="F58" s="1401"/>
      <c r="G58" s="1401"/>
      <c r="H58" s="1401"/>
      <c r="I58" s="1401"/>
      <c r="J58" s="1401"/>
      <c r="K58" s="1401"/>
      <c r="L58" s="1401"/>
      <c r="M58" s="1450"/>
      <c r="N58" s="1703"/>
      <c r="O58" s="1703"/>
      <c r="P58" s="1702"/>
      <c r="Q58" s="1696"/>
    </row>
    <row r="59" ht="27.75" spans="1:17">
      <c r="A59" s="1399"/>
      <c r="B59" s="1402" t="s">
        <v>1357</v>
      </c>
      <c r="C59" s="1427"/>
      <c r="D59" s="1427"/>
      <c r="E59" s="1427"/>
      <c r="F59" s="1427"/>
      <c r="G59" s="1427"/>
      <c r="H59" s="1427"/>
      <c r="I59" s="1427"/>
      <c r="J59" s="1427"/>
      <c r="K59" s="1478"/>
      <c r="L59" s="1479"/>
      <c r="M59" s="1480"/>
      <c r="N59" s="1701"/>
      <c r="O59" s="1701"/>
      <c r="P59" s="1702"/>
      <c r="Q59" s="1696"/>
    </row>
    <row r="60" ht="15.75" spans="1:17">
      <c r="A60" s="1399"/>
      <c r="B60" s="1404"/>
      <c r="C60" s="1401"/>
      <c r="D60" s="1401"/>
      <c r="E60" s="1401"/>
      <c r="F60" s="1401"/>
      <c r="G60" s="1401"/>
      <c r="H60" s="1401"/>
      <c r="I60" s="1401"/>
      <c r="J60" s="1401"/>
      <c r="K60" s="1401"/>
      <c r="L60" s="1401"/>
      <c r="M60" s="1450"/>
      <c r="N60" s="1703"/>
      <c r="O60" s="1703"/>
      <c r="P60" s="1702"/>
      <c r="Q60" s="1696"/>
    </row>
    <row r="61" ht="15.75" spans="1:17">
      <c r="A61" s="1399"/>
      <c r="B61" s="1406" t="s">
        <v>1358</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ht="15" spans="1:17">
      <c r="A62" s="1399"/>
      <c r="B62" s="1408"/>
      <c r="C62" s="1174">
        <v>0</v>
      </c>
      <c r="D62" s="1174">
        <v>2</v>
      </c>
      <c r="E62" s="1174"/>
      <c r="F62" s="1174"/>
      <c r="G62" s="1174"/>
      <c r="H62" s="1174"/>
      <c r="I62" s="1174"/>
      <c r="J62" s="1174"/>
      <c r="K62" s="1456"/>
      <c r="L62" s="1457"/>
      <c r="M62" s="1458"/>
      <c r="N62" s="1701"/>
      <c r="O62" s="1701"/>
      <c r="P62" s="1702"/>
      <c r="Q62" s="1696"/>
    </row>
    <row r="63" ht="15.7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5.7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5.75" spans="1:17">
      <c r="A65" s="1409"/>
      <c r="B65" s="1404"/>
      <c r="C65" s="1412"/>
      <c r="D65" s="1401"/>
      <c r="E65" s="1401"/>
      <c r="F65" s="1401"/>
      <c r="G65" s="1401"/>
      <c r="H65" s="1401"/>
      <c r="I65" s="1401"/>
      <c r="J65" s="1401"/>
      <c r="K65" s="1401"/>
      <c r="L65" s="1401"/>
      <c r="M65" s="1450"/>
      <c r="N65" s="1703"/>
      <c r="O65" s="1703"/>
      <c r="P65" s="1705"/>
      <c r="Q65" s="1707"/>
    </row>
    <row r="66" s="1117" customFormat="1" ht="15.7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5.75" spans="1:17">
      <c r="A67" s="1409"/>
      <c r="B67" s="1404"/>
      <c r="C67" s="1412"/>
      <c r="D67" s="1401"/>
      <c r="E67" s="1401"/>
      <c r="F67" s="1401"/>
      <c r="G67" s="1412"/>
      <c r="H67" s="1413"/>
      <c r="I67" s="1413"/>
      <c r="J67" s="1413"/>
      <c r="K67" s="1413"/>
      <c r="L67" s="1413"/>
      <c r="M67" s="1463"/>
      <c r="N67" s="1704"/>
      <c r="O67" s="1704"/>
      <c r="P67" s="1705"/>
      <c r="Q67" s="1707"/>
    </row>
    <row r="68" s="1117" customFormat="1" ht="15.7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5.75" spans="1:17">
      <c r="A69" s="1415"/>
      <c r="B69" s="1416"/>
      <c r="C69" s="1417"/>
      <c r="D69" s="1417"/>
      <c r="E69" s="1417"/>
      <c r="F69" s="1417"/>
      <c r="G69" s="1417"/>
      <c r="H69" s="1418"/>
      <c r="I69" s="1418"/>
      <c r="J69" s="1418"/>
      <c r="K69" s="1418"/>
      <c r="L69" s="1418"/>
      <c r="M69" s="1467"/>
      <c r="N69" s="1704"/>
      <c r="O69" s="1704"/>
      <c r="P69" s="1705"/>
      <c r="Q69" s="1707"/>
    </row>
    <row r="70" spans="1:17">
      <c r="A70" s="1397" t="s">
        <v>1359</v>
      </c>
      <c r="B70" s="1398" t="s">
        <v>1618</v>
      </c>
      <c r="C70" s="1419" t="s">
        <v>1410</v>
      </c>
      <c r="D70" s="1419" t="s">
        <v>1411</v>
      </c>
      <c r="E70" s="1419" t="s">
        <v>1412</v>
      </c>
      <c r="F70" s="1419" t="s">
        <v>1413</v>
      </c>
      <c r="G70" s="1419" t="s">
        <v>1414</v>
      </c>
      <c r="H70" s="1420"/>
      <c r="I70" s="1420"/>
      <c r="J70" s="1420"/>
      <c r="K70" s="1468"/>
      <c r="L70" s="1469"/>
      <c r="M70" s="1470"/>
      <c r="N70" s="1701"/>
      <c r="O70" s="1701"/>
      <c r="P70" s="1711"/>
      <c r="Q70" s="1696"/>
    </row>
    <row r="71" ht="15.7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75" spans="1:17">
      <c r="A72" s="1399"/>
      <c r="B72" s="1402" t="s">
        <v>1363</v>
      </c>
      <c r="C72" s="1421" t="s">
        <v>1410</v>
      </c>
      <c r="D72" s="1421" t="s">
        <v>1411</v>
      </c>
      <c r="E72" s="1421" t="s">
        <v>1412</v>
      </c>
      <c r="F72" s="1421" t="s">
        <v>1413</v>
      </c>
      <c r="G72" s="1421" t="s">
        <v>1414</v>
      </c>
      <c r="H72" s="1403"/>
      <c r="I72" s="1403"/>
      <c r="J72" s="1403"/>
      <c r="K72" s="1452"/>
      <c r="L72" s="1453"/>
      <c r="M72" s="1454"/>
      <c r="N72" s="1701"/>
      <c r="O72" s="1701"/>
      <c r="P72" s="1702"/>
      <c r="Q72" s="1696"/>
    </row>
    <row r="73" ht="15.7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75" spans="1:17">
      <c r="A74" s="1399"/>
      <c r="B74" s="1402" t="s">
        <v>1364</v>
      </c>
      <c r="C74" s="1421" t="s">
        <v>1410</v>
      </c>
      <c r="D74" s="1421" t="s">
        <v>1411</v>
      </c>
      <c r="E74" s="1421" t="s">
        <v>1412</v>
      </c>
      <c r="F74" s="1421" t="s">
        <v>1413</v>
      </c>
      <c r="G74" s="1421" t="s">
        <v>1414</v>
      </c>
      <c r="H74" s="1403"/>
      <c r="I74" s="1403"/>
      <c r="J74" s="1403"/>
      <c r="K74" s="1452"/>
      <c r="L74" s="1453"/>
      <c r="M74" s="1454"/>
      <c r="N74" s="1701"/>
      <c r="O74" s="1701"/>
      <c r="P74" s="1702"/>
      <c r="Q74" s="1696"/>
    </row>
    <row r="75" ht="15.7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75" spans="1:17">
      <c r="A76" s="1399"/>
      <c r="B76" s="1406" t="s">
        <v>1366</v>
      </c>
      <c r="C76" s="1426" t="s">
        <v>1415</v>
      </c>
      <c r="D76" s="1426" t="s">
        <v>1416</v>
      </c>
      <c r="E76" s="1426" t="s">
        <v>1417</v>
      </c>
      <c r="F76" s="1426" t="s">
        <v>1418</v>
      </c>
      <c r="G76" s="1426" t="s">
        <v>1419</v>
      </c>
      <c r="H76" s="1403"/>
      <c r="I76" s="1403"/>
      <c r="J76" s="1403"/>
      <c r="K76" s="1403"/>
      <c r="L76" s="1403"/>
      <c r="M76" s="1604"/>
      <c r="N76" s="1703"/>
      <c r="O76" s="1703"/>
      <c r="P76" s="1702"/>
      <c r="Q76" s="1696"/>
    </row>
    <row r="77" ht="15.7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75" spans="1:17">
      <c r="A78" s="1399"/>
      <c r="B78" s="1402" t="s">
        <v>1612</v>
      </c>
      <c r="C78" s="1421" t="s">
        <v>1410</v>
      </c>
      <c r="D78" s="1421" t="s">
        <v>1411</v>
      </c>
      <c r="E78" s="1421" t="s">
        <v>1412</v>
      </c>
      <c r="F78" s="1421" t="s">
        <v>1413</v>
      </c>
      <c r="G78" s="1421" t="s">
        <v>1414</v>
      </c>
      <c r="H78" s="1403"/>
      <c r="I78" s="1403"/>
      <c r="J78" s="1403"/>
      <c r="K78" s="1452"/>
      <c r="L78" s="1453"/>
      <c r="M78" s="1454"/>
      <c r="N78" s="1701"/>
      <c r="O78" s="1701"/>
      <c r="P78" s="1702"/>
      <c r="Q78" s="1696"/>
    </row>
    <row r="79" ht="15.7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5.7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5.75" spans="1:17">
      <c r="A81" s="1422"/>
      <c r="B81" s="1404"/>
      <c r="C81" s="1412"/>
      <c r="D81" s="1401"/>
      <c r="E81" s="1401"/>
      <c r="F81" s="1401"/>
      <c r="G81" s="1401"/>
      <c r="H81" s="1401"/>
      <c r="I81" s="1401"/>
      <c r="J81" s="1401"/>
      <c r="K81" s="1401"/>
      <c r="L81" s="1401"/>
      <c r="M81" s="1450"/>
      <c r="N81" s="1703"/>
      <c r="O81" s="1703"/>
      <c r="P81" s="1702"/>
      <c r="Q81" s="1696"/>
    </row>
    <row r="82" s="1115" customFormat="1" ht="15.7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5.75" spans="1:17">
      <c r="A83" s="1422"/>
      <c r="B83" s="1404"/>
      <c r="C83" s="1412"/>
      <c r="D83" s="1401"/>
      <c r="E83" s="1401"/>
      <c r="F83" s="1401"/>
      <c r="G83" s="1401"/>
      <c r="H83" s="1401"/>
      <c r="I83" s="1401"/>
      <c r="J83" s="1401"/>
      <c r="K83" s="1401"/>
      <c r="L83" s="1401"/>
      <c r="M83" s="1450"/>
      <c r="N83" s="1703"/>
      <c r="O83" s="1703"/>
      <c r="P83" s="1702"/>
      <c r="Q83" s="1696"/>
    </row>
    <row r="84" s="1117" customFormat="1" ht="15.7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5.75" spans="1:17">
      <c r="A85" s="1409"/>
      <c r="B85" s="1404"/>
      <c r="C85" s="1412"/>
      <c r="D85" s="1401"/>
      <c r="E85" s="1401"/>
      <c r="F85" s="1401"/>
      <c r="G85" s="1401"/>
      <c r="H85" s="1401"/>
      <c r="I85" s="1401"/>
      <c r="J85" s="1401"/>
      <c r="K85" s="1401"/>
      <c r="L85" s="1401"/>
      <c r="M85" s="1450"/>
      <c r="N85" s="1704"/>
      <c r="O85" s="1704"/>
      <c r="P85" s="1705"/>
      <c r="Q85" s="1707"/>
    </row>
    <row r="86" ht="15.75" spans="1:17">
      <c r="A86" s="1399"/>
      <c r="B86" s="1406">
        <f>B28</f>
        <v>111</v>
      </c>
      <c r="C86" s="1394"/>
      <c r="D86" s="1394"/>
      <c r="E86" s="1394"/>
      <c r="F86" s="1394"/>
      <c r="G86" s="1428"/>
      <c r="H86" s="1428"/>
      <c r="I86" s="1428"/>
      <c r="J86" s="1428"/>
      <c r="K86" s="1481"/>
      <c r="L86" s="1482"/>
      <c r="M86" s="1483"/>
      <c r="N86" s="1701"/>
      <c r="O86" s="1701"/>
      <c r="P86" s="1702"/>
      <c r="Q86" s="1696"/>
    </row>
    <row r="87" ht="15.75" spans="1:17">
      <c r="A87" s="1708"/>
      <c r="B87" s="1416"/>
      <c r="C87" s="1417"/>
      <c r="D87" s="1417"/>
      <c r="E87" s="1417"/>
      <c r="F87" s="1417"/>
      <c r="G87" s="1429"/>
      <c r="H87" s="1429"/>
      <c r="I87" s="1429"/>
      <c r="J87" s="1429"/>
      <c r="K87" s="1429"/>
      <c r="L87" s="1429"/>
      <c r="M87" s="1484"/>
      <c r="N87" s="1703"/>
      <c r="O87" s="1703"/>
      <c r="P87" s="1702"/>
      <c r="Q87" s="1696"/>
    </row>
    <row r="88" spans="1:17">
      <c r="A88" s="1397" t="s">
        <v>1377</v>
      </c>
      <c r="B88" s="1398" t="s">
        <v>1378</v>
      </c>
      <c r="C88" s="1325"/>
      <c r="D88" s="1325"/>
      <c r="E88" s="1325"/>
      <c r="F88" s="1325"/>
      <c r="G88" s="1325"/>
      <c r="H88" s="1325"/>
      <c r="I88" s="1325"/>
      <c r="J88" s="1325"/>
      <c r="K88" s="1445"/>
      <c r="L88" s="1446"/>
      <c r="M88" s="1447"/>
      <c r="N88" s="1701"/>
      <c r="O88" s="1701"/>
      <c r="P88" s="1702"/>
      <c r="Q88" s="1696"/>
    </row>
    <row r="89" ht="15.7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75" spans="1:17">
      <c r="A90" s="1399"/>
      <c r="B90" s="1402" t="s">
        <v>1382</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ht="15" spans="1:17">
      <c r="A91" s="1430"/>
      <c r="B91" s="1431"/>
      <c r="C91" s="1386"/>
      <c r="D91" s="1386"/>
      <c r="E91" s="1386"/>
      <c r="F91" s="1386"/>
      <c r="G91" s="1386"/>
      <c r="H91" s="1386"/>
      <c r="I91" s="1386"/>
      <c r="J91" s="1485"/>
      <c r="K91" s="1485"/>
      <c r="L91" s="1486"/>
      <c r="M91" s="1487"/>
      <c r="N91" s="1704"/>
      <c r="O91" s="1704"/>
      <c r="P91" s="1705"/>
      <c r="Q91" s="1707"/>
    </row>
    <row r="92" s="1117" customFormat="1" ht="15.75" spans="1:17">
      <c r="A92" s="1409"/>
      <c r="B92" s="1404"/>
      <c r="C92" s="1412"/>
      <c r="D92" s="1401"/>
      <c r="E92" s="1401"/>
      <c r="F92" s="1401"/>
      <c r="G92" s="1401"/>
      <c r="H92" s="1401"/>
      <c r="I92" s="1401"/>
      <c r="J92" s="1401"/>
      <c r="K92" s="1401"/>
      <c r="L92" s="1401"/>
      <c r="M92" s="1450"/>
      <c r="N92" s="1703"/>
      <c r="O92" s="1703"/>
      <c r="P92" s="1705"/>
      <c r="Q92" s="1707"/>
    </row>
    <row r="93" ht="15.75" spans="1:17">
      <c r="A93" s="1433"/>
      <c r="B93" s="1402" t="s">
        <v>1383</v>
      </c>
      <c r="C93" s="1410"/>
      <c r="D93" s="1410"/>
      <c r="E93" s="1427"/>
      <c r="F93" s="1427"/>
      <c r="G93" s="1427"/>
      <c r="H93" s="1427"/>
      <c r="I93" s="1427"/>
      <c r="J93" s="1427"/>
      <c r="K93" s="1478"/>
      <c r="L93" s="1479"/>
      <c r="M93" s="1480"/>
      <c r="N93" s="1701"/>
      <c r="O93" s="1701"/>
      <c r="P93" s="1702"/>
      <c r="Q93" s="1696"/>
    </row>
    <row r="94" ht="15.7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75" spans="1:17">
      <c r="A95" s="1433"/>
      <c r="B95" s="1402" t="s">
        <v>1386</v>
      </c>
      <c r="C95" s="1410"/>
      <c r="D95" s="1410"/>
      <c r="E95" s="1410"/>
      <c r="F95" s="1427"/>
      <c r="G95" s="1427"/>
      <c r="H95" s="1427"/>
      <c r="I95" s="1427"/>
      <c r="J95" s="1427"/>
      <c r="K95" s="1478"/>
      <c r="L95" s="1479"/>
      <c r="M95" s="1480"/>
      <c r="N95" s="1701"/>
      <c r="O95" s="1701"/>
      <c r="P95" s="1702"/>
      <c r="Q95" s="1696"/>
    </row>
    <row r="96" ht="15.7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75" spans="1:17">
      <c r="A97" s="1433"/>
      <c r="B97" s="1402" t="s">
        <v>634</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ht="15"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5.7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75" spans="1:17">
      <c r="A100" s="1430"/>
      <c r="B100" s="1402" t="s">
        <v>1388</v>
      </c>
      <c r="C100" s="1410"/>
      <c r="D100" s="1410"/>
      <c r="E100" s="1410"/>
      <c r="F100" s="1410"/>
      <c r="G100" s="1410"/>
      <c r="H100" s="1427"/>
      <c r="I100" s="1427"/>
      <c r="J100" s="1427"/>
      <c r="K100" s="1478"/>
      <c r="L100" s="1479"/>
      <c r="M100" s="1480"/>
      <c r="N100" s="1704"/>
      <c r="O100" s="1704"/>
      <c r="P100" s="1705"/>
      <c r="Q100" s="1707"/>
    </row>
    <row r="101" s="1117" customFormat="1" ht="15.7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75" spans="1:17">
      <c r="A102" s="1433"/>
      <c r="B102" s="1402" t="s">
        <v>1390</v>
      </c>
      <c r="C102" s="1410"/>
      <c r="D102" s="1410"/>
      <c r="E102" s="1410"/>
      <c r="F102" s="1410"/>
      <c r="G102" s="1410"/>
      <c r="H102" s="1427"/>
      <c r="I102" s="1427"/>
      <c r="J102" s="1427"/>
      <c r="K102" s="1478"/>
      <c r="L102" s="1479"/>
      <c r="M102" s="1480"/>
      <c r="N102" s="1701"/>
      <c r="O102" s="1701"/>
      <c r="P102" s="1702"/>
      <c r="Q102" s="1696"/>
    </row>
    <row r="103" ht="15.7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75" spans="1:17">
      <c r="A104" s="1433"/>
      <c r="B104" s="1402" t="s">
        <v>1393</v>
      </c>
      <c r="C104" s="1410"/>
      <c r="D104" s="1410"/>
      <c r="E104" s="1410"/>
      <c r="F104" s="1410"/>
      <c r="G104" s="1410"/>
      <c r="H104" s="1427"/>
      <c r="I104" s="1427"/>
      <c r="J104" s="1427"/>
      <c r="K104" s="1478"/>
      <c r="L104" s="1479"/>
      <c r="M104" s="1480"/>
      <c r="N104" s="1701"/>
      <c r="O104" s="1701"/>
      <c r="P104" s="1702"/>
      <c r="Q104" s="1696"/>
    </row>
    <row r="105" ht="15.7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15.75" spans="1:17">
      <c r="A106" s="1433"/>
      <c r="B106" s="1602" t="s">
        <v>1620</v>
      </c>
      <c r="C106" s="1421" t="s">
        <v>1410</v>
      </c>
      <c r="D106" s="1421" t="s">
        <v>1411</v>
      </c>
      <c r="E106" s="1421" t="s">
        <v>1412</v>
      </c>
      <c r="F106" s="1421" t="s">
        <v>1413</v>
      </c>
      <c r="G106" s="1421" t="s">
        <v>1414</v>
      </c>
      <c r="H106" s="1403"/>
      <c r="I106" s="1403"/>
      <c r="J106" s="1403"/>
      <c r="K106" s="1452"/>
      <c r="L106" s="1453"/>
      <c r="M106" s="1454"/>
      <c r="N106" s="1703"/>
      <c r="O106" s="1703"/>
      <c r="P106" s="1712"/>
      <c r="Q106" s="1714"/>
    </row>
    <row r="107" ht="15.7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5.7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5.75" spans="1:17">
      <c r="A109" s="1409"/>
      <c r="B109" s="1400"/>
      <c r="C109" s="1412"/>
      <c r="D109" s="1401"/>
      <c r="E109" s="1401"/>
      <c r="F109" s="1401"/>
      <c r="G109" s="1412"/>
      <c r="H109" s="1413"/>
      <c r="I109" s="1413"/>
      <c r="J109" s="1413"/>
      <c r="K109" s="1413"/>
      <c r="L109" s="1413"/>
      <c r="M109" s="1463"/>
      <c r="N109" s="1704"/>
      <c r="O109" s="1704"/>
      <c r="P109" s="1705"/>
      <c r="Q109" s="1707"/>
    </row>
    <row r="110" ht="15.75" spans="1:17">
      <c r="A110" s="1433"/>
      <c r="B110" s="1402">
        <f>B39</f>
        <v>111</v>
      </c>
      <c r="C110" s="1410"/>
      <c r="D110" s="1410"/>
      <c r="E110" s="1410"/>
      <c r="F110" s="1410"/>
      <c r="G110" s="1410"/>
      <c r="H110" s="1411"/>
      <c r="I110" s="1411"/>
      <c r="J110" s="1411"/>
      <c r="K110" s="1411"/>
      <c r="L110" s="1459"/>
      <c r="M110" s="1460"/>
      <c r="N110" s="1701"/>
      <c r="O110" s="1701"/>
      <c r="P110" s="1702"/>
      <c r="Q110" s="1696"/>
    </row>
    <row r="111" ht="15.75" spans="1:17">
      <c r="A111" s="1399"/>
      <c r="B111" s="1404"/>
      <c r="C111" s="1412"/>
      <c r="D111" s="1401"/>
      <c r="E111" s="1401"/>
      <c r="F111" s="1401"/>
      <c r="G111" s="1412"/>
      <c r="H111" s="1413"/>
      <c r="I111" s="1413"/>
      <c r="J111" s="1413"/>
      <c r="K111" s="1413"/>
      <c r="L111" s="1413"/>
      <c r="M111" s="1463"/>
      <c r="N111" s="1703"/>
      <c r="O111" s="1703"/>
      <c r="P111" s="1702"/>
      <c r="Q111" s="1696"/>
    </row>
    <row r="112" ht="15.75" spans="1:17">
      <c r="A112" s="1433"/>
      <c r="B112" s="1406">
        <f>B40</f>
        <v>111</v>
      </c>
      <c r="C112" s="1394"/>
      <c r="D112" s="1394"/>
      <c r="E112" s="1394"/>
      <c r="F112" s="1394"/>
      <c r="G112" s="1428"/>
      <c r="H112" s="1428"/>
      <c r="I112" s="1428"/>
      <c r="J112" s="1428"/>
      <c r="K112" s="1394"/>
      <c r="L112" s="1440"/>
      <c r="M112" s="1483"/>
      <c r="N112" s="1701"/>
      <c r="O112" s="1701"/>
      <c r="P112" s="1702"/>
      <c r="Q112" s="1696"/>
    </row>
    <row r="113" ht="15.7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1621</v>
      </c>
      <c r="B1" s="1535" t="s">
        <v>1622</v>
      </c>
      <c r="C1" s="1536" t="s">
        <v>1328</v>
      </c>
      <c r="D1" s="1537"/>
      <c r="E1" s="1538"/>
      <c r="F1" s="1539"/>
      <c r="G1" s="1615" t="s">
        <v>1331</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986</v>
      </c>
      <c r="B3" s="1132" t="e">
        <f ca="1">IF(AND(C2="——",B37="元/平方米"),C39,ROUND(B2*10000/D3,0))</f>
        <v>#DIV/0!</v>
      </c>
      <c r="C3" s="1547" t="s">
        <v>1332</v>
      </c>
      <c r="D3" s="1548">
        <f>SUMIF('数据-汇总表'!$C19:$C33,D1,'数据-汇总表'!$E19:$E33)</f>
        <v>0</v>
      </c>
      <c r="E3" s="1547" t="s">
        <v>1623</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1596</v>
      </c>
      <c r="F5" s="1145"/>
      <c r="G5" s="1142" t="s">
        <v>1597</v>
      </c>
      <c r="H5" s="1143"/>
      <c r="I5" s="1142" t="s">
        <v>1598</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6" si="3">D8/F8</f>
        <v>1</v>
      </c>
      <c r="AB8" s="1376">
        <f t="shared" ref="AB8:AB36" si="4">D8/H8</f>
        <v>1</v>
      </c>
      <c r="AC8" s="1376">
        <f t="shared" ref="AC8:AC36" si="5">D8/J8</f>
        <v>1</v>
      </c>
    </row>
    <row r="9" s="1115" customFormat="1" spans="1:29">
      <c r="A9" s="1617" t="s">
        <v>1353</v>
      </c>
      <c r="B9" s="1618" t="s">
        <v>1354</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620"/>
      <c r="B10" s="1621" t="s">
        <v>1357</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34" t="s">
        <v>1359</v>
      </c>
      <c r="B14" s="1183" t="s">
        <v>1363</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0.5" spans="1:29">
      <c r="A16" s="1140"/>
      <c r="B16" s="1192" t="s">
        <v>1364</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27" spans="1:29">
      <c r="A18" s="1140"/>
      <c r="B18" s="1199" t="s">
        <v>1366</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4" spans="1:29">
      <c r="A20" s="1140"/>
      <c r="B20" s="1192" t="s">
        <v>1367</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1603</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633" t="s">
        <v>1377</v>
      </c>
      <c r="B26" s="1634" t="s">
        <v>1624</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1381</v>
      </c>
      <c r="Q26" s="700" t="str">
        <f t="shared" si="11"/>
        <v>配套类型</v>
      </c>
      <c r="R26" s="1362" t="s">
        <v>1349</v>
      </c>
      <c r="S26" s="1363">
        <f t="shared" ref="S26:S36" si="12">F26</f>
        <v>0</v>
      </c>
      <c r="T26" s="1362" t="s">
        <v>1349</v>
      </c>
      <c r="U26" s="1363">
        <f t="shared" ref="U26:U36" si="13">H26</f>
        <v>0</v>
      </c>
      <c r="V26" s="1362" t="s">
        <v>1349</v>
      </c>
      <c r="W26" s="1363">
        <f t="shared" ref="W26:W36" si="14">J26</f>
        <v>0</v>
      </c>
      <c r="X26" s="1349"/>
      <c r="Y26" s="1324" t="s">
        <v>1381</v>
      </c>
      <c r="Z26" s="1336" t="str">
        <f t="shared" ref="Z26:Z36" si="15">Q26</f>
        <v>配套类型</v>
      </c>
      <c r="AA26" s="1378" t="e">
        <f t="shared" si="3"/>
        <v>#DIV/0!</v>
      </c>
      <c r="AB26" s="1378" t="e">
        <f t="shared" si="4"/>
        <v>#DIV/0!</v>
      </c>
      <c r="AC26" s="1378" t="e">
        <f t="shared" si="5"/>
        <v>#DIV/0!</v>
      </c>
    </row>
    <row r="27" s="1117" customFormat="1" ht="15" spans="1:29">
      <c r="A27" s="1636"/>
      <c r="B27" s="1205" t="s">
        <v>1625</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1349</v>
      </c>
      <c r="S27" s="1365">
        <f t="shared" si="12"/>
        <v>100</v>
      </c>
      <c r="T27" s="1364" t="s">
        <v>1349</v>
      </c>
      <c r="U27" s="1365">
        <f t="shared" si="13"/>
        <v>100</v>
      </c>
      <c r="V27" s="1364" t="s">
        <v>1349</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1386</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1349</v>
      </c>
      <c r="S28" s="1363">
        <f t="shared" si="12"/>
        <v>100</v>
      </c>
      <c r="T28" s="1362" t="s">
        <v>1349</v>
      </c>
      <c r="U28" s="1363">
        <f t="shared" si="13"/>
        <v>100</v>
      </c>
      <c r="V28" s="1362" t="s">
        <v>1349</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1626</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1349</v>
      </c>
      <c r="S29" s="1363" t="e">
        <f t="shared" si="12"/>
        <v>#N/A</v>
      </c>
      <c r="T29" s="1362" t="s">
        <v>1349</v>
      </c>
      <c r="U29" s="1363" t="e">
        <f t="shared" si="13"/>
        <v>#N/A</v>
      </c>
      <c r="V29" s="1362" t="s">
        <v>1349</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1627</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1349</v>
      </c>
      <c r="S30" s="1363">
        <f t="shared" si="12"/>
        <v>100</v>
      </c>
      <c r="T30" s="1362" t="s">
        <v>1349</v>
      </c>
      <c r="U30" s="1363">
        <f t="shared" si="13"/>
        <v>100</v>
      </c>
      <c r="V30" s="1362" t="s">
        <v>1349</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1628</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1349</v>
      </c>
      <c r="S31" s="1358" t="e">
        <f t="shared" si="12"/>
        <v>#N/A</v>
      </c>
      <c r="T31" s="1357" t="s">
        <v>1349</v>
      </c>
      <c r="U31" s="1358" t="e">
        <f t="shared" si="13"/>
        <v>#N/A</v>
      </c>
      <c r="V31" s="1357" t="s">
        <v>1349</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1629</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1381</v>
      </c>
      <c r="Q32" s="700" t="str">
        <f t="shared" si="11"/>
        <v>车位类型</v>
      </c>
      <c r="R32" s="1362" t="s">
        <v>1349</v>
      </c>
      <c r="S32" s="1363">
        <f t="shared" si="12"/>
        <v>100</v>
      </c>
      <c r="T32" s="1362" t="s">
        <v>1349</v>
      </c>
      <c r="U32" s="1363">
        <f t="shared" si="13"/>
        <v>100</v>
      </c>
      <c r="V32" s="1362" t="s">
        <v>1349</v>
      </c>
      <c r="W32" s="1363">
        <f t="shared" si="14"/>
        <v>100</v>
      </c>
      <c r="X32" s="1349"/>
      <c r="Y32" s="1324" t="s">
        <v>1381</v>
      </c>
      <c r="Z32" s="1336" t="str">
        <f t="shared" si="15"/>
        <v>车位类型</v>
      </c>
      <c r="AA32" s="1378">
        <f t="shared" si="3"/>
        <v>1</v>
      </c>
      <c r="AB32" s="1378">
        <f t="shared" si="4"/>
        <v>1</v>
      </c>
      <c r="AC32" s="1378">
        <f t="shared" si="5"/>
        <v>1</v>
      </c>
    </row>
    <row r="33" ht="15" spans="1:29">
      <c r="A33" s="1638"/>
      <c r="B33" s="1205" t="s">
        <v>1630</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1349</v>
      </c>
      <c r="S33" s="1363">
        <f t="shared" si="12"/>
        <v>100</v>
      </c>
      <c r="T33" s="1362" t="s">
        <v>1349</v>
      </c>
      <c r="U33" s="1363">
        <f t="shared" si="13"/>
        <v>100</v>
      </c>
      <c r="V33" s="1362" t="s">
        <v>1349</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1349</v>
      </c>
      <c r="S35" s="1365">
        <f t="shared" si="12"/>
        <v>100</v>
      </c>
      <c r="T35" s="1364" t="s">
        <v>1349</v>
      </c>
      <c r="U35" s="1365">
        <f t="shared" si="13"/>
        <v>100</v>
      </c>
      <c r="V35" s="1364" t="s">
        <v>1349</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1349</v>
      </c>
      <c r="S36" s="1363">
        <f t="shared" si="12"/>
        <v>100</v>
      </c>
      <c r="T36" s="1362" t="s">
        <v>1349</v>
      </c>
      <c r="U36" s="1363">
        <f t="shared" si="13"/>
        <v>100</v>
      </c>
      <c r="V36" s="1362" t="s">
        <v>1349</v>
      </c>
      <c r="W36" s="1363">
        <f t="shared" si="14"/>
        <v>100</v>
      </c>
      <c r="X36" s="1349"/>
      <c r="Y36" s="1324"/>
      <c r="Z36" s="1336">
        <f t="shared" si="15"/>
        <v>111</v>
      </c>
      <c r="AA36" s="1378">
        <f t="shared" si="3"/>
        <v>1</v>
      </c>
      <c r="AB36" s="1378">
        <f t="shared" si="4"/>
        <v>1</v>
      </c>
      <c r="AC36" s="1378">
        <f t="shared" si="5"/>
        <v>1</v>
      </c>
    </row>
    <row r="37" ht="15" spans="1:29">
      <c r="A37" s="1226" t="s">
        <v>1631</v>
      </c>
      <c r="B37" s="1641" t="s">
        <v>1632</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75" spans="1:29">
      <c r="A38" s="1234" t="s">
        <v>1400</v>
      </c>
      <c r="B38" s="1581" t="str">
        <f>B37</f>
        <v>元/平方米</v>
      </c>
      <c r="C38" s="1582" t="e">
        <f>R39</f>
        <v>#DIV/0!</v>
      </c>
      <c r="D38" s="1237" t="s">
        <v>1401</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75" spans="1:29">
      <c r="A39" s="1240" t="s">
        <v>1633</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1403</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1404</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1405</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 spans="1:29">
      <c r="A47" s="1642" t="s">
        <v>1406</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5" spans="1:29">
      <c r="A48" s="1586" t="s">
        <v>1347</v>
      </c>
      <c r="B48" s="1587"/>
      <c r="C48" s="1588" t="str">
        <f>YEAR(C7)&amp;"-"&amp;MONTH(C7)</f>
        <v>2023-5</v>
      </c>
      <c r="D48" s="1589">
        <f>EDATE(C48,-1)</f>
        <v>45017</v>
      </c>
      <c r="E48" s="1589">
        <f t="shared" ref="E48:O48" si="16">EDATE(D48,-1)</f>
        <v>44986</v>
      </c>
      <c r="F48" s="1589">
        <f t="shared" si="16"/>
        <v>44958</v>
      </c>
      <c r="G48" s="1589">
        <f t="shared" si="16"/>
        <v>44927</v>
      </c>
      <c r="H48" s="1589">
        <f t="shared" si="16"/>
        <v>44896</v>
      </c>
      <c r="I48" s="1589">
        <f t="shared" si="16"/>
        <v>44866</v>
      </c>
      <c r="J48" s="1589">
        <f t="shared" si="16"/>
        <v>44835</v>
      </c>
      <c r="K48" s="1589">
        <f t="shared" si="16"/>
        <v>44805</v>
      </c>
      <c r="L48" s="1589">
        <f t="shared" si="16"/>
        <v>44774</v>
      </c>
      <c r="M48" s="1589">
        <f t="shared" si="16"/>
        <v>44743</v>
      </c>
      <c r="N48" s="1589">
        <f t="shared" si="16"/>
        <v>44713</v>
      </c>
      <c r="O48" s="1589">
        <f t="shared" si="16"/>
        <v>44682</v>
      </c>
      <c r="P48" s="1655"/>
      <c r="Q48" s="1491"/>
      <c r="R48" s="1491"/>
      <c r="S48" s="1491"/>
      <c r="T48" s="1491"/>
      <c r="U48" s="1491"/>
      <c r="V48" s="1491"/>
      <c r="W48" s="1491"/>
      <c r="X48" s="1491"/>
      <c r="Y48" s="1491"/>
      <c r="Z48" s="1491"/>
      <c r="AA48" s="1491"/>
      <c r="AB48" s="1491"/>
      <c r="AC48" s="1491"/>
    </row>
    <row r="49" s="1115" customFormat="1" ht="15"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75" spans="1:29">
      <c r="A50" s="1387" t="s">
        <v>1407</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5" spans="1:29">
      <c r="A51" s="1391" t="s">
        <v>1350</v>
      </c>
      <c r="B51" s="1392"/>
      <c r="C51" s="1393" t="s">
        <v>1408</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5.7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spans="1:29">
      <c r="A53" s="1397" t="s">
        <v>1409</v>
      </c>
      <c r="B53" s="1398" t="s">
        <v>1354</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5.7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7.75" spans="1:29">
      <c r="A55" s="1399"/>
      <c r="B55" s="1402" t="s">
        <v>1357</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5.7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5.7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5.7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5.7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5.7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5.7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5.7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 spans="1:29">
      <c r="A63" s="1397" t="s">
        <v>1359</v>
      </c>
      <c r="B63" s="1398" t="s">
        <v>1363</v>
      </c>
      <c r="C63" s="1419" t="s">
        <v>1410</v>
      </c>
      <c r="D63" s="1419" t="s">
        <v>1411</v>
      </c>
      <c r="E63" s="1419" t="s">
        <v>1412</v>
      </c>
      <c r="F63" s="1419" t="s">
        <v>1413</v>
      </c>
      <c r="G63" s="1419" t="s">
        <v>1414</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5.7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75" spans="1:29">
      <c r="A65" s="1399"/>
      <c r="B65" s="1402" t="s">
        <v>1364</v>
      </c>
      <c r="C65" s="1421" t="s">
        <v>1410</v>
      </c>
      <c r="D65" s="1421" t="s">
        <v>1411</v>
      </c>
      <c r="E65" s="1421" t="s">
        <v>1412</v>
      </c>
      <c r="F65" s="1421" t="s">
        <v>1413</v>
      </c>
      <c r="G65" s="1421" t="s">
        <v>1414</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5.7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75" spans="1:29">
      <c r="A67" s="1399"/>
      <c r="B67" s="1406" t="s">
        <v>1366</v>
      </c>
      <c r="C67" s="1426" t="s">
        <v>1415</v>
      </c>
      <c r="D67" s="1426" t="s">
        <v>1416</v>
      </c>
      <c r="E67" s="1426" t="s">
        <v>1417</v>
      </c>
      <c r="F67" s="1426" t="s">
        <v>1418</v>
      </c>
      <c r="G67" s="1426" t="s">
        <v>1419</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5.7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75" spans="1:29">
      <c r="A69" s="1399"/>
      <c r="B69" s="1402" t="s">
        <v>1367</v>
      </c>
      <c r="C69" s="1421" t="s">
        <v>1410</v>
      </c>
      <c r="D69" s="1421" t="s">
        <v>1411</v>
      </c>
      <c r="E69" s="1421" t="s">
        <v>1412</v>
      </c>
      <c r="F69" s="1421" t="s">
        <v>1413</v>
      </c>
      <c r="G69" s="1421" t="s">
        <v>1414</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5.7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75" spans="1:29">
      <c r="A71" s="1399"/>
      <c r="B71" s="1402" t="s">
        <v>1603</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5.7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5.7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5.7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5.7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5.7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5.7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5.7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7.75" spans="1:29">
      <c r="A79" s="1397" t="s">
        <v>1377</v>
      </c>
      <c r="B79" s="1398" t="s">
        <v>1634</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75" spans="1:29">
      <c r="A81" s="1399"/>
      <c r="B81" s="1402" t="s">
        <v>1625</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5.7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75" spans="1:29">
      <c r="A83" s="1433"/>
      <c r="B83" s="1402" t="s">
        <v>1386</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5.7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75" spans="1:29">
      <c r="A85" s="1433"/>
      <c r="B85" s="1402" t="s">
        <v>1626</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ht="15"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5.7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75" spans="1:29">
      <c r="A88" s="1433"/>
      <c r="B88" s="1406" t="s">
        <v>1627</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5.7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75" spans="1:29">
      <c r="A90" s="1430"/>
      <c r="B90" s="1402" t="s">
        <v>1628</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ht="15"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75" spans="1:29">
      <c r="A93" s="1433"/>
      <c r="B93" s="1402" t="s">
        <v>1629</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5.7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75" spans="1:29">
      <c r="A95" s="1433"/>
      <c r="B95" s="1402" t="s">
        <v>1630</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5.7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5.7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5.7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5.7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5.7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5.7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1621</v>
      </c>
      <c r="B1" s="1535" t="s">
        <v>1635</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 ca="1">IF(C2="——",C37,ROUND(B2*10000/D3,0))</f>
        <v>#DIV/0!</v>
      </c>
      <c r="C3" s="1547" t="s">
        <v>1332</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1596</v>
      </c>
      <c r="F5" s="1145"/>
      <c r="G5" s="1142" t="s">
        <v>1597</v>
      </c>
      <c r="H5" s="1143"/>
      <c r="I5" s="1142" t="s">
        <v>1598</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4" si="3">D8/F8</f>
        <v>1</v>
      </c>
      <c r="AB8" s="1376">
        <f t="shared" ref="AB8:AB34" si="4">D8/H8</f>
        <v>1</v>
      </c>
      <c r="AC8" s="1376">
        <f t="shared" ref="AC8:AC34" si="5">D8/J8</f>
        <v>1</v>
      </c>
    </row>
    <row r="9" s="1115" customFormat="1" spans="1:29">
      <c r="A9" s="1160" t="s">
        <v>1353</v>
      </c>
      <c r="B9" s="1161" t="s">
        <v>1354</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164"/>
      <c r="B10" s="1165" t="s">
        <v>1357</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82" t="s">
        <v>1359</v>
      </c>
      <c r="B14" s="1503" t="s">
        <v>1363</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0.5" spans="1:29">
      <c r="A16" s="1168"/>
      <c r="B16" s="1506" t="s">
        <v>1364</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27" spans="1:29">
      <c r="A18" s="1168"/>
      <c r="B18" s="1510" t="s">
        <v>1366</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4" spans="1:29">
      <c r="A20" s="1168"/>
      <c r="B20" s="1506" t="s">
        <v>1367</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1603</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564" t="s">
        <v>1377</v>
      </c>
      <c r="B26" s="1161" t="s">
        <v>1386</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1381</v>
      </c>
      <c r="Q26" s="700" t="str">
        <f t="shared" si="11"/>
        <v>公共部分装修</v>
      </c>
      <c r="R26" s="1362" t="s">
        <v>1349</v>
      </c>
      <c r="S26" s="1363">
        <f t="shared" ref="S26:S34" si="12">F26</f>
        <v>100</v>
      </c>
      <c r="T26" s="1362" t="s">
        <v>1349</v>
      </c>
      <c r="U26" s="1363">
        <f t="shared" ref="U26:U34" si="13">H26</f>
        <v>100</v>
      </c>
      <c r="V26" s="1362" t="s">
        <v>1349</v>
      </c>
      <c r="W26" s="1363">
        <f t="shared" ref="W26:W34" si="14">J26</f>
        <v>100</v>
      </c>
      <c r="X26" s="1349"/>
      <c r="Y26" s="1324" t="s">
        <v>1381</v>
      </c>
      <c r="Z26" s="1336" t="str">
        <f t="shared" ref="Z26:Z34" si="15">Q26</f>
        <v>公共部分装修</v>
      </c>
      <c r="AA26" s="1378">
        <f t="shared" si="3"/>
        <v>1</v>
      </c>
      <c r="AB26" s="1378">
        <f t="shared" si="4"/>
        <v>1</v>
      </c>
      <c r="AC26" s="1378">
        <f t="shared" si="5"/>
        <v>1</v>
      </c>
    </row>
    <row r="27" s="1117" customFormat="1" ht="15" spans="1:29">
      <c r="A27" s="1224"/>
      <c r="B27" s="1165" t="s">
        <v>1626</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1349</v>
      </c>
      <c r="S27" s="1365" t="e">
        <f t="shared" si="12"/>
        <v>#N/A</v>
      </c>
      <c r="T27" s="1364" t="s">
        <v>1349</v>
      </c>
      <c r="U27" s="1365" t="e">
        <f t="shared" si="13"/>
        <v>#N/A</v>
      </c>
      <c r="V27" s="1364" t="s">
        <v>1349</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1627</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1349</v>
      </c>
      <c r="S28" s="1363">
        <f t="shared" si="12"/>
        <v>100</v>
      </c>
      <c r="T28" s="1362" t="s">
        <v>1349</v>
      </c>
      <c r="U28" s="1363">
        <f t="shared" si="13"/>
        <v>100</v>
      </c>
      <c r="V28" s="1362" t="s">
        <v>1349</v>
      </c>
      <c r="W28" s="1363">
        <f t="shared" si="14"/>
        <v>100</v>
      </c>
      <c r="X28" s="1349"/>
      <c r="Y28" s="1324"/>
      <c r="Z28" s="1336" t="str">
        <f t="shared" si="15"/>
        <v>物业等级</v>
      </c>
      <c r="AA28" s="1378">
        <f t="shared" si="3"/>
        <v>1</v>
      </c>
      <c r="AB28" s="1378">
        <f t="shared" si="4"/>
        <v>1</v>
      </c>
      <c r="AC28" s="1378">
        <f t="shared" si="5"/>
        <v>1</v>
      </c>
    </row>
    <row r="29" ht="15" spans="1:29">
      <c r="A29" s="1219"/>
      <c r="B29" s="1165" t="s">
        <v>1636</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1349</v>
      </c>
      <c r="S29" s="1363">
        <f t="shared" si="12"/>
        <v>100</v>
      </c>
      <c r="T29" s="1362" t="s">
        <v>1349</v>
      </c>
      <c r="U29" s="1363">
        <f t="shared" si="13"/>
        <v>100</v>
      </c>
      <c r="V29" s="1362" t="s">
        <v>1349</v>
      </c>
      <c r="W29" s="1363">
        <f t="shared" si="14"/>
        <v>100</v>
      </c>
      <c r="X29" s="1349"/>
      <c r="Y29" s="1324"/>
      <c r="Z29" s="1336" t="str">
        <f t="shared" si="15"/>
        <v>有无电梯</v>
      </c>
      <c r="AA29" s="1378">
        <f t="shared" si="3"/>
        <v>1</v>
      </c>
      <c r="AB29" s="1378">
        <f t="shared" si="4"/>
        <v>1</v>
      </c>
      <c r="AC29" s="1378">
        <f t="shared" si="5"/>
        <v>1</v>
      </c>
    </row>
    <row r="30" ht="15" spans="1:29">
      <c r="A30" s="1219"/>
      <c r="B30" s="1165" t="s">
        <v>595</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1349</v>
      </c>
      <c r="S30" s="1363" t="e">
        <f t="shared" si="12"/>
        <v>#N/A</v>
      </c>
      <c r="T30" s="1362" t="s">
        <v>1349</v>
      </c>
      <c r="U30" s="1363" t="e">
        <f t="shared" si="13"/>
        <v>#N/A</v>
      </c>
      <c r="V30" s="1362" t="s">
        <v>1349</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1637</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1349</v>
      </c>
      <c r="S31" s="1358">
        <f t="shared" si="12"/>
        <v>100</v>
      </c>
      <c r="T31" s="1357" t="s">
        <v>1349</v>
      </c>
      <c r="U31" s="1358">
        <f t="shared" si="13"/>
        <v>100</v>
      </c>
      <c r="V31" s="1357" t="s">
        <v>1349</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1381</v>
      </c>
      <c r="Q32" s="700">
        <f t="shared" si="11"/>
        <v>111</v>
      </c>
      <c r="R32" s="1362" t="s">
        <v>1349</v>
      </c>
      <c r="S32" s="1363">
        <f t="shared" si="12"/>
        <v>100</v>
      </c>
      <c r="T32" s="1362" t="s">
        <v>1349</v>
      </c>
      <c r="U32" s="1363">
        <f t="shared" si="13"/>
        <v>100</v>
      </c>
      <c r="V32" s="1362" t="s">
        <v>1349</v>
      </c>
      <c r="W32" s="1363">
        <f t="shared" si="14"/>
        <v>100</v>
      </c>
      <c r="X32" s="1349"/>
      <c r="Y32" s="1324" t="s">
        <v>1381</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1349</v>
      </c>
      <c r="S33" s="1363">
        <f t="shared" si="12"/>
        <v>100</v>
      </c>
      <c r="T33" s="1362" t="s">
        <v>1349</v>
      </c>
      <c r="U33" s="1363">
        <f t="shared" si="13"/>
        <v>100</v>
      </c>
      <c r="V33" s="1362" t="s">
        <v>1349</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ht="15" spans="1:29">
      <c r="A35" s="1226" t="s">
        <v>1399</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75" spans="1:29">
      <c r="A36" s="1234" t="s">
        <v>1400</v>
      </c>
      <c r="B36" s="1581"/>
      <c r="C36" s="1582" t="e">
        <f>R37</f>
        <v>#DIV/0!</v>
      </c>
      <c r="D36" s="1237" t="s">
        <v>1401</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75" spans="1:29">
      <c r="A37" s="1240" t="s">
        <v>1402</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1403</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1404</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1405</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 spans="1:30">
      <c r="A45" s="1283" t="s">
        <v>1406</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5" spans="1:30">
      <c r="A46" s="1586" t="s">
        <v>1347</v>
      </c>
      <c r="B46" s="1587"/>
      <c r="C46" s="1588" t="str">
        <f>YEAR(C7)&amp;"-"&amp;MONTH(C7)</f>
        <v>2023-5</v>
      </c>
      <c r="D46" s="1589">
        <f>EDATE(C46,-1)</f>
        <v>45017</v>
      </c>
      <c r="E46" s="1589">
        <f t="shared" ref="E46:O46" si="16">EDATE(D46,-1)</f>
        <v>44986</v>
      </c>
      <c r="F46" s="1589">
        <f t="shared" si="16"/>
        <v>44958</v>
      </c>
      <c r="G46" s="1589">
        <f t="shared" si="16"/>
        <v>44927</v>
      </c>
      <c r="H46" s="1589">
        <f t="shared" si="16"/>
        <v>44896</v>
      </c>
      <c r="I46" s="1589">
        <f t="shared" si="16"/>
        <v>44866</v>
      </c>
      <c r="J46" s="1589">
        <f t="shared" si="16"/>
        <v>44835</v>
      </c>
      <c r="K46" s="1589">
        <f t="shared" si="16"/>
        <v>44805</v>
      </c>
      <c r="L46" s="1589">
        <f t="shared" si="16"/>
        <v>44774</v>
      </c>
      <c r="M46" s="1589">
        <f t="shared" si="16"/>
        <v>44743</v>
      </c>
      <c r="N46" s="1589">
        <f t="shared" si="16"/>
        <v>44713</v>
      </c>
      <c r="O46" s="1589">
        <f t="shared" si="16"/>
        <v>44682</v>
      </c>
      <c r="P46" s="1435"/>
      <c r="Q46" s="1491"/>
      <c r="R46" s="1491"/>
      <c r="S46" s="1491"/>
      <c r="T46" s="1491"/>
      <c r="U46" s="1491"/>
      <c r="V46" s="1491"/>
      <c r="W46" s="1491"/>
      <c r="X46" s="1491"/>
      <c r="Y46" s="1491"/>
      <c r="Z46" s="1491"/>
      <c r="AA46" s="1491"/>
      <c r="AB46" s="1491"/>
      <c r="AC46" s="1491"/>
      <c r="AD46" s="1491"/>
    </row>
    <row r="47" s="1115" customFormat="1" ht="15"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75" spans="1:30">
      <c r="A48" s="1387" t="s">
        <v>1407</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5" spans="1:30">
      <c r="A49" s="1391" t="s">
        <v>1350</v>
      </c>
      <c r="B49" s="1392"/>
      <c r="C49" s="1393" t="s">
        <v>1408</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5.7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spans="1:30">
      <c r="A51" s="1397" t="s">
        <v>1409</v>
      </c>
      <c r="B51" s="1398" t="s">
        <v>1354</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5.7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7.75" spans="1:30">
      <c r="A53" s="1399"/>
      <c r="B53" s="1402" t="s">
        <v>1357</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5.7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5.7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5.7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5.7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5.7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5.7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5.7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 spans="1:30">
      <c r="A61" s="1397" t="s">
        <v>1359</v>
      </c>
      <c r="B61" s="1398" t="s">
        <v>1363</v>
      </c>
      <c r="C61" s="1419" t="s">
        <v>1410</v>
      </c>
      <c r="D61" s="1419" t="s">
        <v>1411</v>
      </c>
      <c r="E61" s="1419" t="s">
        <v>1412</v>
      </c>
      <c r="F61" s="1419" t="s">
        <v>1413</v>
      </c>
      <c r="G61" s="1419" t="s">
        <v>1414</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5.7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7.75" spans="1:30">
      <c r="A63" s="1399"/>
      <c r="B63" s="1402" t="s">
        <v>1638</v>
      </c>
      <c r="C63" s="1421" t="s">
        <v>1410</v>
      </c>
      <c r="D63" s="1421" t="s">
        <v>1411</v>
      </c>
      <c r="E63" s="1421" t="s">
        <v>1412</v>
      </c>
      <c r="F63" s="1421" t="s">
        <v>1413</v>
      </c>
      <c r="G63" s="1421" t="s">
        <v>1414</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5.7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75" spans="1:30">
      <c r="A65" s="1399"/>
      <c r="B65" s="1406" t="s">
        <v>1366</v>
      </c>
      <c r="C65" s="1426" t="s">
        <v>1415</v>
      </c>
      <c r="D65" s="1426" t="s">
        <v>1416</v>
      </c>
      <c r="E65" s="1426" t="s">
        <v>1417</v>
      </c>
      <c r="F65" s="1426" t="s">
        <v>1418</v>
      </c>
      <c r="G65" s="1426" t="s">
        <v>1419</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5.7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75" spans="1:30">
      <c r="A67" s="1399"/>
      <c r="B67" s="1402" t="s">
        <v>1367</v>
      </c>
      <c r="C67" s="1421" t="s">
        <v>1410</v>
      </c>
      <c r="D67" s="1421" t="s">
        <v>1411</v>
      </c>
      <c r="E67" s="1421" t="s">
        <v>1412</v>
      </c>
      <c r="F67" s="1421" t="s">
        <v>1413</v>
      </c>
      <c r="G67" s="1421" t="s">
        <v>1414</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5.7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75" spans="1:30">
      <c r="A69" s="1399"/>
      <c r="B69" s="1402" t="s">
        <v>1603</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5.7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5.7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5.7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5.7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5.7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5.7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5.7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 spans="1:30">
      <c r="A77" s="1397" t="s">
        <v>1377</v>
      </c>
      <c r="B77" s="1398" t="s">
        <v>1386</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5.7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75" spans="1:30">
      <c r="A79" s="1399"/>
      <c r="B79" s="1402" t="s">
        <v>1626</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ht="15"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5.7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75" spans="1:30">
      <c r="A82" s="1433"/>
      <c r="B82" s="1406" t="s">
        <v>1627</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5.7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75" spans="1:30">
      <c r="A84" s="1433"/>
      <c r="B84" s="1402" t="s">
        <v>1636</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5.7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75" spans="1:30">
      <c r="A86" s="1433"/>
      <c r="B86" s="1406" t="s">
        <v>595</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ht="15"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5.7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75" spans="1:30">
      <c r="A89" s="1430"/>
      <c r="B89" s="1402" t="s">
        <v>1637</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5.7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5.7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5.7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5.7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5.7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5.7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5.7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4.1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30">
      <c r="A1" s="1124" t="s">
        <v>1639</v>
      </c>
      <c r="B1" s="1125"/>
      <c r="C1" s="1126" t="s">
        <v>1640</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984</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1596</v>
      </c>
      <c r="F5" s="1145"/>
      <c r="G5" s="1142" t="s">
        <v>1597</v>
      </c>
      <c r="H5" s="1143"/>
      <c r="I5" s="1142" t="s">
        <v>1598</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1408</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5" si="3">D8/F8</f>
        <v>#DIV/0!</v>
      </c>
      <c r="AB8" s="1376" t="e">
        <f t="shared" ref="AB8:AB45" si="4">D8/H8</f>
        <v>#DIV/0!</v>
      </c>
      <c r="AC8" s="1376" t="e">
        <f t="shared" ref="AC8:AC45" si="5">D8/J8</f>
        <v>#DIV/0!</v>
      </c>
    </row>
    <row r="9" s="1115" customFormat="1" spans="1:29">
      <c r="A9" s="1160" t="s">
        <v>1353</v>
      </c>
      <c r="B9" s="1161" t="s">
        <v>1354</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501"/>
      <c r="F10" s="1167">
        <f>ROUND(100/'数据-取费表'!G16,0)</f>
        <v>111</v>
      </c>
      <c r="G10" s="1502"/>
      <c r="H10" s="1167">
        <f>ROUND(100/'数据-取费表'!G16,0)</f>
        <v>111</v>
      </c>
      <c r="I10" s="1502"/>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1641</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1349</v>
      </c>
      <c r="S12" s="1358">
        <f t="shared" si="0"/>
        <v>100</v>
      </c>
      <c r="T12" s="1357" t="s">
        <v>1349</v>
      </c>
      <c r="U12" s="1358">
        <f t="shared" si="1"/>
        <v>100</v>
      </c>
      <c r="V12" s="1357" t="s">
        <v>1349</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94.5" spans="1:29">
      <c r="A15" s="1182" t="s">
        <v>1359</v>
      </c>
      <c r="B15" s="1503" t="s">
        <v>1360</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68.25" spans="1:29">
      <c r="A17" s="1168"/>
      <c r="B17" s="1506" t="s">
        <v>1599</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1349</v>
      </c>
      <c r="S17" s="1363">
        <f>F17</f>
        <v>100</v>
      </c>
      <c r="T17" s="1362" t="s">
        <v>1349</v>
      </c>
      <c r="U17" s="1363">
        <f>H17</f>
        <v>100</v>
      </c>
      <c r="V17" s="1362" t="s">
        <v>1349</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68.25" spans="1:29">
      <c r="A19" s="1168"/>
      <c r="B19" s="1506" t="s">
        <v>1611</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1349</v>
      </c>
      <c r="S19" s="1363">
        <f>F19</f>
        <v>100</v>
      </c>
      <c r="T19" s="1362" t="s">
        <v>1349</v>
      </c>
      <c r="U19" s="1363">
        <f>H19</f>
        <v>100</v>
      </c>
      <c r="V19" s="1362" t="s">
        <v>1349</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81" spans="1:29">
      <c r="A21" s="1168"/>
      <c r="B21" s="1506" t="s">
        <v>1363</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1349</v>
      </c>
      <c r="S21" s="1363">
        <f>F21</f>
        <v>100</v>
      </c>
      <c r="T21" s="1362" t="s">
        <v>1349</v>
      </c>
      <c r="U21" s="1363">
        <f>H21</f>
        <v>100</v>
      </c>
      <c r="V21" s="1362" t="s">
        <v>1349</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15" spans="1:29">
      <c r="A23" s="1140"/>
      <c r="B23" s="1506" t="s">
        <v>1642</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1349</v>
      </c>
      <c r="S23" s="1363">
        <f>F23</f>
        <v>100</v>
      </c>
      <c r="T23" s="1362" t="s">
        <v>1349</v>
      </c>
      <c r="U23" s="1363">
        <f>H23</f>
        <v>100</v>
      </c>
      <c r="V23" s="1362" t="s">
        <v>1349</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4" spans="1:29">
      <c r="A25" s="1140"/>
      <c r="B25" s="1510" t="s">
        <v>1643</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1349</v>
      </c>
      <c r="S25" s="1363">
        <f>F25</f>
        <v>100</v>
      </c>
      <c r="T25" s="1362" t="s">
        <v>1349</v>
      </c>
      <c r="U25" s="1363">
        <f>H25</f>
        <v>100</v>
      </c>
      <c r="V25" s="1362" t="s">
        <v>1349</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0.5" spans="1:29">
      <c r="A27" s="1198"/>
      <c r="B27" s="1510" t="s">
        <v>1364</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1349</v>
      </c>
      <c r="S27" s="1358">
        <f>F27</f>
        <v>100</v>
      </c>
      <c r="T27" s="1357" t="s">
        <v>1349</v>
      </c>
      <c r="U27" s="1358">
        <f>H27</f>
        <v>100</v>
      </c>
      <c r="V27" s="1357" t="s">
        <v>1349</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27" spans="1:29">
      <c r="A29" s="1198"/>
      <c r="B29" s="1510" t="s">
        <v>1366</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1349</v>
      </c>
      <c r="S29" s="1358">
        <f>F29</f>
        <v>100</v>
      </c>
      <c r="T29" s="1357" t="s">
        <v>1349</v>
      </c>
      <c r="U29" s="1358">
        <f>H29</f>
        <v>100</v>
      </c>
      <c r="V29" s="1357" t="s">
        <v>1349</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1600</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1349</v>
      </c>
      <c r="S31" s="1363">
        <f t="shared" ref="S31:S45" si="10">F31</f>
        <v>100</v>
      </c>
      <c r="T31" s="1362" t="s">
        <v>1349</v>
      </c>
      <c r="U31" s="1363">
        <f t="shared" ref="U31:U45" si="11">H31</f>
        <v>100</v>
      </c>
      <c r="V31" s="1362" t="s">
        <v>1349</v>
      </c>
      <c r="W31" s="1363">
        <f t="shared" ref="W31:W45" si="12">J31</f>
        <v>100</v>
      </c>
      <c r="X31" s="1349"/>
      <c r="Y31" s="1315"/>
      <c r="Z31" s="1336" t="str">
        <f t="shared" ref="Z31:Z45" si="13">Q31</f>
        <v>临街状况</v>
      </c>
      <c r="AA31" s="1378">
        <f t="shared" si="3"/>
        <v>1</v>
      </c>
      <c r="AB31" s="1378">
        <f t="shared" si="4"/>
        <v>1</v>
      </c>
      <c r="AC31" s="1378">
        <f t="shared" si="5"/>
        <v>1</v>
      </c>
    </row>
    <row r="32" ht="27" spans="1:29">
      <c r="A32" s="1168"/>
      <c r="B32" s="1510" t="s">
        <v>1613</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1349</v>
      </c>
      <c r="S32" s="1363">
        <f t="shared" si="10"/>
        <v>100</v>
      </c>
      <c r="T32" s="1362" t="s">
        <v>1349</v>
      </c>
      <c r="U32" s="1363">
        <f t="shared" si="11"/>
        <v>100</v>
      </c>
      <c r="V32" s="1362" t="s">
        <v>1349</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1644</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1349</v>
      </c>
      <c r="S34" s="1363">
        <f t="shared" si="10"/>
        <v>100</v>
      </c>
      <c r="T34" s="1362" t="s">
        <v>1349</v>
      </c>
      <c r="U34" s="1363">
        <f t="shared" si="11"/>
        <v>100</v>
      </c>
      <c r="V34" s="1362" t="s">
        <v>1349</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1349</v>
      </c>
      <c r="S35" s="1363">
        <f t="shared" si="10"/>
        <v>100</v>
      </c>
      <c r="T35" s="1362" t="s">
        <v>1349</v>
      </c>
      <c r="U35" s="1363">
        <f t="shared" si="11"/>
        <v>100</v>
      </c>
      <c r="V35" s="1362" t="s">
        <v>1349</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1381</v>
      </c>
      <c r="Q36" s="700">
        <f t="shared" si="8"/>
        <v>111</v>
      </c>
      <c r="R36" s="1362" t="s">
        <v>1349</v>
      </c>
      <c r="S36" s="1363">
        <f t="shared" si="10"/>
        <v>100</v>
      </c>
      <c r="T36" s="1362" t="s">
        <v>1349</v>
      </c>
      <c r="U36" s="1363">
        <f t="shared" si="11"/>
        <v>100</v>
      </c>
      <c r="V36" s="1362" t="s">
        <v>1349</v>
      </c>
      <c r="W36" s="1363">
        <f t="shared" si="12"/>
        <v>100</v>
      </c>
      <c r="X36" s="1349"/>
      <c r="Y36" s="1324" t="s">
        <v>1381</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1349</v>
      </c>
      <c r="S37" s="1365">
        <f t="shared" si="10"/>
        <v>100</v>
      </c>
      <c r="T37" s="1364" t="s">
        <v>1349</v>
      </c>
      <c r="U37" s="1365">
        <f t="shared" si="11"/>
        <v>100</v>
      </c>
      <c r="V37" s="1364" t="s">
        <v>1349</v>
      </c>
      <c r="W37" s="1365">
        <f t="shared" si="12"/>
        <v>100</v>
      </c>
      <c r="X37" s="1366"/>
      <c r="Y37" s="1324"/>
      <c r="Z37" s="1379">
        <f t="shared" si="13"/>
        <v>111</v>
      </c>
      <c r="AA37" s="1378">
        <f t="shared" si="3"/>
        <v>1</v>
      </c>
      <c r="AB37" s="1378">
        <f t="shared" si="4"/>
        <v>1</v>
      </c>
      <c r="AC37" s="1378">
        <f t="shared" si="5"/>
        <v>1</v>
      </c>
    </row>
    <row r="38" ht="15" spans="1:29">
      <c r="A38" s="1219" t="s">
        <v>1377</v>
      </c>
      <c r="B38" s="1216" t="s">
        <v>1645</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1349</v>
      </c>
      <c r="S38" s="1363" t="e">
        <f t="shared" si="10"/>
        <v>#N/A</v>
      </c>
      <c r="T38" s="1362" t="s">
        <v>1349</v>
      </c>
      <c r="U38" s="1363" t="e">
        <f t="shared" si="11"/>
        <v>#N/A</v>
      </c>
      <c r="V38" s="1362" t="s">
        <v>1349</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1646</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1349</v>
      </c>
      <c r="S39" s="1363">
        <f t="shared" si="10"/>
        <v>100</v>
      </c>
      <c r="T39" s="1362" t="s">
        <v>1349</v>
      </c>
      <c r="U39" s="1363">
        <f t="shared" si="11"/>
        <v>100</v>
      </c>
      <c r="V39" s="1362" t="s">
        <v>1349</v>
      </c>
      <c r="W39" s="1363">
        <f t="shared" si="12"/>
        <v>100</v>
      </c>
      <c r="X39" s="1349"/>
      <c r="Y39" s="1324"/>
      <c r="Z39" s="1336" t="str">
        <f t="shared" si="13"/>
        <v>宗地形状</v>
      </c>
      <c r="AA39" s="1378">
        <f t="shared" si="3"/>
        <v>1</v>
      </c>
      <c r="AB39" s="1378">
        <f t="shared" si="4"/>
        <v>1</v>
      </c>
      <c r="AC39" s="1378">
        <f t="shared" si="5"/>
        <v>1</v>
      </c>
    </row>
    <row r="40" ht="15" spans="1:29">
      <c r="A40" s="1219"/>
      <c r="B40" s="1165" t="s">
        <v>1647</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1349</v>
      </c>
      <c r="S40" s="1363">
        <f t="shared" si="10"/>
        <v>100</v>
      </c>
      <c r="T40" s="1362" t="s">
        <v>1349</v>
      </c>
      <c r="U40" s="1363">
        <f t="shared" si="11"/>
        <v>100</v>
      </c>
      <c r="V40" s="1362" t="s">
        <v>1349</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1648</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1349</v>
      </c>
      <c r="S41" s="1358">
        <f t="shared" si="10"/>
        <v>100</v>
      </c>
      <c r="T41" s="1357" t="s">
        <v>1349</v>
      </c>
      <c r="U41" s="1358">
        <f t="shared" si="11"/>
        <v>100</v>
      </c>
      <c r="V41" s="1357" t="s">
        <v>1349</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1649</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1381</v>
      </c>
      <c r="Q42" s="700" t="str">
        <f t="shared" si="14"/>
        <v>工程地质条件</v>
      </c>
      <c r="R42" s="1362" t="s">
        <v>1349</v>
      </c>
      <c r="S42" s="1363">
        <f t="shared" si="10"/>
        <v>100</v>
      </c>
      <c r="T42" s="1362" t="s">
        <v>1349</v>
      </c>
      <c r="U42" s="1363">
        <f t="shared" si="11"/>
        <v>100</v>
      </c>
      <c r="V42" s="1362" t="s">
        <v>1349</v>
      </c>
      <c r="W42" s="1363">
        <f t="shared" si="12"/>
        <v>100</v>
      </c>
      <c r="X42" s="1349"/>
      <c r="Y42" s="1324" t="s">
        <v>1381</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1349</v>
      </c>
      <c r="S43" s="1363">
        <f t="shared" si="10"/>
        <v>100</v>
      </c>
      <c r="T43" s="1362" t="s">
        <v>1349</v>
      </c>
      <c r="U43" s="1363">
        <f t="shared" si="11"/>
        <v>100</v>
      </c>
      <c r="V43" s="1362" t="s">
        <v>1349</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1349</v>
      </c>
      <c r="S44" s="1363">
        <f t="shared" si="10"/>
        <v>100</v>
      </c>
      <c r="T44" s="1362" t="s">
        <v>1349</v>
      </c>
      <c r="U44" s="1363">
        <f t="shared" si="11"/>
        <v>100</v>
      </c>
      <c r="V44" s="1362" t="s">
        <v>1349</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1349</v>
      </c>
      <c r="S45" s="1365">
        <f t="shared" si="10"/>
        <v>100</v>
      </c>
      <c r="T45" s="1364" t="s">
        <v>1349</v>
      </c>
      <c r="U45" s="1365">
        <f t="shared" si="11"/>
        <v>100</v>
      </c>
      <c r="V45" s="1364" t="s">
        <v>1349</v>
      </c>
      <c r="W45" s="1365">
        <f t="shared" si="12"/>
        <v>100</v>
      </c>
      <c r="X45" s="1366"/>
      <c r="Y45" s="1324"/>
      <c r="Z45" s="1379">
        <f t="shared" si="13"/>
        <v>111</v>
      </c>
      <c r="AA45" s="1378">
        <f t="shared" si="3"/>
        <v>1</v>
      </c>
      <c r="AB45" s="1378">
        <f t="shared" si="4"/>
        <v>1</v>
      </c>
      <c r="AC45" s="1378">
        <f t="shared" si="5"/>
        <v>1</v>
      </c>
    </row>
    <row r="46" ht="15" spans="1:29">
      <c r="A46" s="1226" t="s">
        <v>1631</v>
      </c>
      <c r="B46" s="1227" t="s">
        <v>1650</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75" spans="1:29">
      <c r="A47" s="1234" t="s">
        <v>1400</v>
      </c>
      <c r="B47" s="1235"/>
      <c r="C47" s="1236" t="e">
        <f>R48</f>
        <v>#DIV/0!</v>
      </c>
      <c r="D47" s="1237" t="s">
        <v>1401</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75" spans="1:29">
      <c r="A48" s="1240" t="s">
        <v>1651</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1403</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1404</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1405</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1652</v>
      </c>
      <c r="B55" s="1253" t="s">
        <v>1653</v>
      </c>
      <c r="C55" s="1254" t="s">
        <v>1654</v>
      </c>
      <c r="D55" s="1255" t="s">
        <v>1655</v>
      </c>
      <c r="E55" s="1256" t="s">
        <v>1656</v>
      </c>
      <c r="F55" s="1514" t="s">
        <v>1657</v>
      </c>
      <c r="G55" s="1136" t="s">
        <v>1658</v>
      </c>
      <c r="H55" s="695"/>
      <c r="I55" s="1518" t="s">
        <v>1659</v>
      </c>
      <c r="J55" s="1519">
        <f>项目基本情况!F35</f>
        <v>0</v>
      </c>
      <c r="K55" s="1337" t="s">
        <v>1660</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1661</v>
      </c>
      <c r="B56" s="1259" t="e">
        <f>C48</f>
        <v>#DIV/0!</v>
      </c>
      <c r="C56" s="1260">
        <v>1</v>
      </c>
      <c r="D56" s="1261">
        <v>1</v>
      </c>
      <c r="E56" s="1260">
        <f>'数据-汇总表'!E8+'数据-汇总表'!E9</f>
        <v>211.57</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1662</v>
      </c>
      <c r="B57" s="411" t="e">
        <f>ROUND($C$48*C57*D57,0)</f>
        <v>#DIV/0!</v>
      </c>
      <c r="C57" s="614">
        <f t="shared" ref="C57:C64" si="16">IF($C$55="北京市系数",I57,J57)</f>
        <v>0</v>
      </c>
      <c r="D57" s="1265">
        <v>0.25</v>
      </c>
      <c r="E57" s="1266"/>
      <c r="F57" s="1515" t="e">
        <f t="shared" si="15"/>
        <v>#DIV/0!</v>
      </c>
      <c r="G57" s="1267" t="s">
        <v>1663</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1664</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1665</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1666</v>
      </c>
      <c r="B60" s="411" t="e">
        <f t="shared" si="17"/>
        <v>#DIV/0!</v>
      </c>
      <c r="C60" s="614">
        <f t="shared" si="16"/>
        <v>0</v>
      </c>
      <c r="D60" s="1265">
        <v>0.25</v>
      </c>
      <c r="E60" s="410">
        <f>'数据-汇总表'!E11</f>
        <v>0</v>
      </c>
      <c r="F60" s="1515" t="e">
        <f t="shared" si="15"/>
        <v>#DIV/0!</v>
      </c>
      <c r="G60" s="1271" t="s">
        <v>1667</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1668</v>
      </c>
      <c r="B61" s="411" t="e">
        <f t="shared" si="17"/>
        <v>#DIV/0!</v>
      </c>
      <c r="C61" s="614">
        <f t="shared" si="16"/>
        <v>0</v>
      </c>
      <c r="D61" s="1265">
        <v>0.25</v>
      </c>
      <c r="E61" s="410">
        <f>'数据-汇总表'!E12</f>
        <v>0</v>
      </c>
      <c r="F61" s="1515" t="e">
        <f t="shared" si="15"/>
        <v>#DIV/0!</v>
      </c>
      <c r="G61" s="1272" t="s">
        <v>1669</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1670</v>
      </c>
      <c r="B62" s="411" t="e">
        <f t="shared" si="17"/>
        <v>#DIV/0!</v>
      </c>
      <c r="C62" s="614">
        <f t="shared" si="16"/>
        <v>0</v>
      </c>
      <c r="D62" s="1265">
        <v>0.25</v>
      </c>
      <c r="E62" s="410">
        <f>'数据-汇总表'!E13</f>
        <v>0</v>
      </c>
      <c r="F62" s="1515" t="e">
        <f t="shared" si="15"/>
        <v>#DIV/0!</v>
      </c>
      <c r="G62" s="1272" t="s">
        <v>1671</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1672</v>
      </c>
      <c r="B63" s="411" t="e">
        <f t="shared" si="17"/>
        <v>#DIV/0!</v>
      </c>
      <c r="C63" s="614">
        <f t="shared" si="16"/>
        <v>0</v>
      </c>
      <c r="D63" s="1265">
        <v>0.25</v>
      </c>
      <c r="E63" s="410">
        <f>'数据-汇总表'!E14</f>
        <v>0</v>
      </c>
      <c r="F63" s="1515" t="e">
        <f t="shared" si="15"/>
        <v>#DIV/0!</v>
      </c>
      <c r="G63" s="1271" t="s">
        <v>1663</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5" spans="1:29">
      <c r="A64" s="1264" t="s">
        <v>1673</v>
      </c>
      <c r="B64" s="411" t="e">
        <f t="shared" si="17"/>
        <v>#DIV/0!</v>
      </c>
      <c r="C64" s="614">
        <f t="shared" si="16"/>
        <v>0</v>
      </c>
      <c r="D64" s="1265">
        <v>0.25</v>
      </c>
      <c r="E64" s="410">
        <f>'数据-汇总表'!E15</f>
        <v>0</v>
      </c>
      <c r="F64" s="1515" t="e">
        <f t="shared" si="15"/>
        <v>#DIV/0!</v>
      </c>
      <c r="G64" s="1273" t="s">
        <v>1667</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5" spans="1:29">
      <c r="A65" s="1275" t="s">
        <v>1674</v>
      </c>
      <c r="B65" s="1276" t="s">
        <v>1675</v>
      </c>
      <c r="C65" s="1276" t="s">
        <v>1675</v>
      </c>
      <c r="D65" s="1276" t="s">
        <v>1675</v>
      </c>
      <c r="E65" s="1276">
        <f>IF(B46="楼面地价",SUM(E56:E64),'数据-汇总表'!D3)</f>
        <v>211.57</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2023-5-1</v>
      </c>
      <c r="D67" s="1282">
        <f>EDATE(C67,-3)</f>
        <v>44958</v>
      </c>
      <c r="E67" s="1282">
        <f>EDATE(D67,-3)</f>
        <v>44866</v>
      </c>
      <c r="F67" s="1282">
        <f t="shared" ref="F67:O67" si="18">EDATE(E67,-3)</f>
        <v>44774</v>
      </c>
      <c r="G67" s="1282">
        <f t="shared" si="18"/>
        <v>44682</v>
      </c>
      <c r="H67" s="1282">
        <f t="shared" si="18"/>
        <v>44593</v>
      </c>
      <c r="I67" s="1282">
        <f t="shared" si="18"/>
        <v>44501</v>
      </c>
      <c r="J67" s="1282">
        <f t="shared" si="18"/>
        <v>44409</v>
      </c>
      <c r="K67" s="1282">
        <f t="shared" si="18"/>
        <v>44317</v>
      </c>
      <c r="L67" s="1282">
        <f t="shared" si="18"/>
        <v>44228</v>
      </c>
      <c r="M67" s="1282">
        <f t="shared" si="18"/>
        <v>44136</v>
      </c>
      <c r="N67" s="1282">
        <f t="shared" si="18"/>
        <v>44044</v>
      </c>
      <c r="O67" s="1282">
        <f t="shared" si="18"/>
        <v>43952</v>
      </c>
      <c r="P67" s="1243"/>
      <c r="Q67" s="1243"/>
      <c r="R67" s="1243"/>
      <c r="S67" s="1243"/>
      <c r="T67" s="1243"/>
      <c r="U67" s="1243"/>
      <c r="V67" s="1243"/>
      <c r="W67" s="1243"/>
      <c r="X67" s="1243"/>
      <c r="Y67" s="1243"/>
      <c r="Z67" s="1243"/>
      <c r="AA67" s="1243"/>
      <c r="AB67" s="1243"/>
      <c r="AC67" s="1243"/>
    </row>
    <row r="68" ht="21" spans="1:29">
      <c r="A68" s="1283" t="s">
        <v>1406</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5" spans="1:29">
      <c r="A69" s="1381" t="s">
        <v>1676</v>
      </c>
      <c r="B69" s="1382"/>
      <c r="C69" s="1383" t="str">
        <f>YEAR(C67)&amp;"-"&amp;ROUNDUP(MONTH(C67)/3,0)</f>
        <v>2023-2</v>
      </c>
      <c r="D69" s="1383" t="str">
        <f>YEAR(D67)&amp;"-"&amp;ROUNDUP(MONTH(D67)/3,0)</f>
        <v>2023-1</v>
      </c>
      <c r="E69" s="1383" t="str">
        <f t="shared" ref="E69:O69" si="19">YEAR(E67)&amp;"-"&amp;ROUNDUP(MONTH(E67)/3,0)</f>
        <v>2022-4</v>
      </c>
      <c r="F69" s="1383" t="str">
        <f t="shared" si="19"/>
        <v>2022-3</v>
      </c>
      <c r="G69" s="1383" t="str">
        <f t="shared" si="19"/>
        <v>2022-2</v>
      </c>
      <c r="H69" s="1383" t="str">
        <f t="shared" si="19"/>
        <v>2022-1</v>
      </c>
      <c r="I69" s="1383" t="str">
        <f t="shared" si="19"/>
        <v>2021-4</v>
      </c>
      <c r="J69" s="1383" t="str">
        <f t="shared" si="19"/>
        <v>2021-3</v>
      </c>
      <c r="K69" s="1383" t="str">
        <f t="shared" si="19"/>
        <v>2021-2</v>
      </c>
      <c r="L69" s="1383" t="str">
        <f t="shared" si="19"/>
        <v>2021-1</v>
      </c>
      <c r="M69" s="1383" t="str">
        <f t="shared" si="19"/>
        <v>2020-4</v>
      </c>
      <c r="N69" s="1383" t="str">
        <f t="shared" si="19"/>
        <v>2020-3</v>
      </c>
      <c r="O69" s="1383" t="str">
        <f t="shared" si="19"/>
        <v>2020-2</v>
      </c>
      <c r="P69" s="1435"/>
      <c r="Q69" s="1491"/>
      <c r="R69" s="1491"/>
      <c r="S69" s="1491"/>
      <c r="T69" s="1491"/>
      <c r="U69" s="1491"/>
      <c r="V69" s="1491"/>
      <c r="W69" s="1491"/>
      <c r="X69" s="1491"/>
      <c r="Y69" s="1491"/>
      <c r="Z69" s="1491"/>
      <c r="AA69" s="1491"/>
      <c r="AB69" s="1491"/>
      <c r="AC69" s="1491"/>
    </row>
    <row r="70" s="1115" customFormat="1" ht="30" customHeight="1" spans="1:29">
      <c r="A70" s="1527" t="s">
        <v>1677</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75" spans="1:29">
      <c r="A71" s="1387" t="s">
        <v>1407</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5" spans="1:29">
      <c r="A72" s="1391" t="s">
        <v>1350</v>
      </c>
      <c r="B72" s="1392"/>
      <c r="C72" s="1393" t="s">
        <v>1408</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5.7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spans="1:29">
      <c r="A74" s="1397" t="s">
        <v>1409</v>
      </c>
      <c r="B74" s="1398" t="s">
        <v>1354</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5.7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7.75" spans="1:29">
      <c r="A76" s="1399"/>
      <c r="B76" s="1402" t="s">
        <v>1357</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5.7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75" spans="1:29">
      <c r="A78" s="1399"/>
      <c r="B78" s="1406" t="s">
        <v>1358</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ht="15"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5.7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7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5.7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5.7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5.7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5.7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5.7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spans="1:29">
      <c r="A87" s="1397" t="s">
        <v>1359</v>
      </c>
      <c r="B87" s="1398" t="s">
        <v>1360</v>
      </c>
      <c r="C87" s="1419" t="s">
        <v>1410</v>
      </c>
      <c r="D87" s="1419" t="s">
        <v>1411</v>
      </c>
      <c r="E87" s="1419" t="s">
        <v>1412</v>
      </c>
      <c r="F87" s="1419" t="s">
        <v>1413</v>
      </c>
      <c r="G87" s="1419" t="s">
        <v>1414</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5.7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75" spans="1:29">
      <c r="A89" s="1399"/>
      <c r="B89" s="1402" t="s">
        <v>1599</v>
      </c>
      <c r="C89" s="1421" t="s">
        <v>1410</v>
      </c>
      <c r="D89" s="1421" t="s">
        <v>1411</v>
      </c>
      <c r="E89" s="1421" t="s">
        <v>1412</v>
      </c>
      <c r="F89" s="1421" t="s">
        <v>1413</v>
      </c>
      <c r="G89" s="1421" t="s">
        <v>1414</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5.7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75" spans="1:29">
      <c r="A91" s="1399"/>
      <c r="B91" s="1402" t="s">
        <v>1611</v>
      </c>
      <c r="C91" s="1421" t="s">
        <v>1410</v>
      </c>
      <c r="D91" s="1421" t="s">
        <v>1411</v>
      </c>
      <c r="E91" s="1421" t="s">
        <v>1412</v>
      </c>
      <c r="F91" s="1421" t="s">
        <v>1413</v>
      </c>
      <c r="G91" s="1421" t="s">
        <v>1414</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5.7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75" spans="1:29">
      <c r="A93" s="1399"/>
      <c r="B93" s="1402" t="s">
        <v>1363</v>
      </c>
      <c r="C93" s="1421" t="s">
        <v>1410</v>
      </c>
      <c r="D93" s="1421" t="s">
        <v>1411</v>
      </c>
      <c r="E93" s="1421" t="s">
        <v>1412</v>
      </c>
      <c r="F93" s="1421" t="s">
        <v>1413</v>
      </c>
      <c r="G93" s="1421" t="s">
        <v>1414</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5.7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15.75" spans="1:29">
      <c r="A95" s="1422"/>
      <c r="B95" s="1402" t="s">
        <v>1642</v>
      </c>
      <c r="C95" s="1421" t="s">
        <v>1410</v>
      </c>
      <c r="D95" s="1421" t="s">
        <v>1411</v>
      </c>
      <c r="E95" s="1421" t="s">
        <v>1412</v>
      </c>
      <c r="F95" s="1421" t="s">
        <v>1413</v>
      </c>
      <c r="G95" s="1421" t="s">
        <v>1414</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5.7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7.75" spans="1:29">
      <c r="A97" s="1422"/>
      <c r="B97" s="1402" t="s">
        <v>1643</v>
      </c>
      <c r="C97" s="1419" t="s">
        <v>1410</v>
      </c>
      <c r="D97" s="1419" t="s">
        <v>1411</v>
      </c>
      <c r="E97" s="1419" t="s">
        <v>1412</v>
      </c>
      <c r="F97" s="1419" t="s">
        <v>1413</v>
      </c>
      <c r="G97" s="1419" t="s">
        <v>1414</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5.7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75" spans="1:29">
      <c r="A99" s="1409"/>
      <c r="B99" s="1402" t="s">
        <v>1364</v>
      </c>
      <c r="C99" s="1419" t="s">
        <v>1410</v>
      </c>
      <c r="D99" s="1419" t="s">
        <v>1411</v>
      </c>
      <c r="E99" s="1419" t="s">
        <v>1412</v>
      </c>
      <c r="F99" s="1419" t="s">
        <v>1413</v>
      </c>
      <c r="G99" s="1419" t="s">
        <v>1414</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5.7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75" spans="1:29">
      <c r="A101" s="1409"/>
      <c r="B101" s="1406" t="s">
        <v>1366</v>
      </c>
      <c r="C101" s="1426" t="s">
        <v>1415</v>
      </c>
      <c r="D101" s="1426" t="s">
        <v>1416</v>
      </c>
      <c r="E101" s="1426" t="s">
        <v>1417</v>
      </c>
      <c r="F101" s="1426" t="s">
        <v>1418</v>
      </c>
      <c r="G101" s="1426" t="s">
        <v>1419</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5.7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75" spans="1:29">
      <c r="A103" s="1399"/>
      <c r="B103" s="1402" t="str">
        <f>B31</f>
        <v>临街状况</v>
      </c>
      <c r="C103" s="1403" t="s">
        <v>1678</v>
      </c>
      <c r="D103" s="1403" t="s">
        <v>1679</v>
      </c>
      <c r="E103" s="1403" t="s">
        <v>1680</v>
      </c>
      <c r="F103" s="1403" t="s">
        <v>1681</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5.7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7.75" spans="1:29">
      <c r="A105" s="1399"/>
      <c r="B105" s="1402" t="s">
        <v>1613</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75" spans="1:29">
      <c r="A107" s="1399"/>
      <c r="B107" s="1402" t="s">
        <v>1644</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5.7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5.7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5.7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5.7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5.7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spans="1:29">
      <c r="A115" s="1397" t="s">
        <v>1377</v>
      </c>
      <c r="B115" s="1398" t="s">
        <v>1645</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ht="15"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5.7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75" spans="1:29">
      <c r="A118" s="1433"/>
      <c r="B118" s="1402" t="s">
        <v>1646</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5.7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75" spans="1:29">
      <c r="A120" s="1433"/>
      <c r="B120" s="1402" t="s">
        <v>1647</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5.7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75" spans="1:29">
      <c r="A122" s="1430"/>
      <c r="B122" s="1402" t="s">
        <v>1648</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5.7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75" spans="1:29">
      <c r="A124" s="1433"/>
      <c r="B124" s="1402" t="s">
        <v>1649</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5.7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5.7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5.7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5.7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5.7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5.7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29">
      <c r="A1" s="1124" t="s">
        <v>1639</v>
      </c>
      <c r="B1" s="1125"/>
      <c r="C1" s="1126" t="s">
        <v>1617</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984</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1596</v>
      </c>
      <c r="F5" s="1145"/>
      <c r="G5" s="1142" t="s">
        <v>1597</v>
      </c>
      <c r="H5" s="1143"/>
      <c r="I5" s="1142" t="s">
        <v>1598</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148" t="s">
        <v>1682</v>
      </c>
      <c r="D6" s="1149"/>
      <c r="E6" s="1150" t="s">
        <v>1682</v>
      </c>
      <c r="F6" s="1151"/>
      <c r="G6" s="1148" t="s">
        <v>1682</v>
      </c>
      <c r="H6" s="1149"/>
      <c r="I6" s="1148" t="s">
        <v>1682</v>
      </c>
      <c r="J6" s="1149"/>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1408</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0" si="3">D8/F8</f>
        <v>#DIV/0!</v>
      </c>
      <c r="AB8" s="1376" t="e">
        <f t="shared" ref="AB8:AB40" si="4">D8/H8</f>
        <v>#DIV/0!</v>
      </c>
      <c r="AC8" s="1376" t="e">
        <f t="shared" ref="AC8:AC40" si="5">D8/J8</f>
        <v>#DIV/0!</v>
      </c>
    </row>
    <row r="9" s="1115" customFormat="1" spans="1:29">
      <c r="A9" s="1160" t="s">
        <v>1353</v>
      </c>
      <c r="B9" s="1161" t="s">
        <v>1354</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166"/>
      <c r="F10" s="1167">
        <f>ROUND(100/'数据-取费表'!G16,0)</f>
        <v>111</v>
      </c>
      <c r="G10" s="1166"/>
      <c r="H10" s="1167">
        <f>ROUND(100/'数据-取费表'!G16,0)</f>
        <v>111</v>
      </c>
      <c r="I10" s="1166"/>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183" t="s">
        <v>1618</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1" spans="1:29">
      <c r="A17" s="1168"/>
      <c r="B17" s="1192" t="s">
        <v>1363</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15" spans="1:29">
      <c r="A19" s="1168"/>
      <c r="B19" s="1192" t="s">
        <v>1642</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1349</v>
      </c>
      <c r="S19" s="1363">
        <f>F19</f>
        <v>100</v>
      </c>
      <c r="T19" s="1362" t="s">
        <v>1349</v>
      </c>
      <c r="U19" s="1363">
        <f>H19</f>
        <v>100</v>
      </c>
      <c r="V19" s="1362" t="s">
        <v>1349</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67.5" spans="1:29">
      <c r="A21" s="1140"/>
      <c r="B21" s="1192" t="s">
        <v>1683</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1349</v>
      </c>
      <c r="S21" s="1363">
        <f>F21</f>
        <v>100</v>
      </c>
      <c r="T21" s="1362" t="s">
        <v>1349</v>
      </c>
      <c r="U21" s="1363">
        <f>H21</f>
        <v>100</v>
      </c>
      <c r="V21" s="1362" t="s">
        <v>1349</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0.5" spans="1:29">
      <c r="A23" s="1198"/>
      <c r="B23" s="1199" t="s">
        <v>1364</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1349</v>
      </c>
      <c r="S23" s="1358">
        <f>F23</f>
        <v>100</v>
      </c>
      <c r="T23" s="1357" t="s">
        <v>1349</v>
      </c>
      <c r="U23" s="1358">
        <f>H23</f>
        <v>100</v>
      </c>
      <c r="V23" s="1357" t="s">
        <v>1349</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27" spans="1:29">
      <c r="A25" s="1198"/>
      <c r="B25" s="1199" t="s">
        <v>1366</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1349</v>
      </c>
      <c r="S25" s="1358">
        <f>F25</f>
        <v>100</v>
      </c>
      <c r="T25" s="1357" t="s">
        <v>1349</v>
      </c>
      <c r="U25" s="1358">
        <f>H25</f>
        <v>100</v>
      </c>
      <c r="V25" s="1357" t="s">
        <v>1349</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1600</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1349</v>
      </c>
      <c r="S27" s="1363">
        <f t="shared" ref="S27:S40" si="10">F27</f>
        <v>100</v>
      </c>
      <c r="T27" s="1362" t="s">
        <v>1349</v>
      </c>
      <c r="U27" s="1363">
        <f t="shared" ref="U27:U40" si="11">H27</f>
        <v>100</v>
      </c>
      <c r="V27" s="1362" t="s">
        <v>1349</v>
      </c>
      <c r="W27" s="1363">
        <f t="shared" ref="W27:W40" si="12">J27</f>
        <v>100</v>
      </c>
      <c r="X27" s="1349"/>
      <c r="Y27" s="1315"/>
      <c r="Z27" s="1336" t="str">
        <f t="shared" ref="Z27:Z40" si="13">Q27</f>
        <v>临街状况</v>
      </c>
      <c r="AA27" s="1378">
        <f t="shared" si="3"/>
        <v>1</v>
      </c>
      <c r="AB27" s="1378">
        <f t="shared" si="4"/>
        <v>1</v>
      </c>
      <c r="AC27" s="1378">
        <f t="shared" si="5"/>
        <v>1</v>
      </c>
    </row>
    <row r="28" ht="27" spans="1:29">
      <c r="A28" s="1168"/>
      <c r="B28" s="1199" t="s">
        <v>1613</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1349</v>
      </c>
      <c r="S28" s="1363">
        <f t="shared" si="10"/>
        <v>100</v>
      </c>
      <c r="T28" s="1362" t="s">
        <v>1349</v>
      </c>
      <c r="U28" s="1363">
        <f t="shared" si="11"/>
        <v>100</v>
      </c>
      <c r="V28" s="1362" t="s">
        <v>1349</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1644</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1349</v>
      </c>
      <c r="S30" s="1363">
        <f t="shared" si="10"/>
        <v>100</v>
      </c>
      <c r="T30" s="1362" t="s">
        <v>1349</v>
      </c>
      <c r="U30" s="1363">
        <f t="shared" si="11"/>
        <v>100</v>
      </c>
      <c r="V30" s="1362" t="s">
        <v>1349</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1349</v>
      </c>
      <c r="S31" s="1363">
        <f t="shared" si="10"/>
        <v>100</v>
      </c>
      <c r="T31" s="1362" t="s">
        <v>1349</v>
      </c>
      <c r="U31" s="1363">
        <f t="shared" si="11"/>
        <v>100</v>
      </c>
      <c r="V31" s="1362" t="s">
        <v>1349</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1381</v>
      </c>
      <c r="Q32" s="700">
        <f t="shared" si="8"/>
        <v>111</v>
      </c>
      <c r="R32" s="1362" t="s">
        <v>1349</v>
      </c>
      <c r="S32" s="1363">
        <f t="shared" si="10"/>
        <v>100</v>
      </c>
      <c r="T32" s="1362" t="s">
        <v>1349</v>
      </c>
      <c r="U32" s="1363">
        <f t="shared" si="11"/>
        <v>100</v>
      </c>
      <c r="V32" s="1362" t="s">
        <v>1349</v>
      </c>
      <c r="W32" s="1363">
        <f t="shared" si="12"/>
        <v>100</v>
      </c>
      <c r="X32" s="1349"/>
      <c r="Y32" s="1324" t="s">
        <v>1381</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1349</v>
      </c>
      <c r="S33" s="1365">
        <f t="shared" si="10"/>
        <v>100</v>
      </c>
      <c r="T33" s="1364" t="s">
        <v>1349</v>
      </c>
      <c r="U33" s="1365">
        <f t="shared" si="11"/>
        <v>100</v>
      </c>
      <c r="V33" s="1364" t="s">
        <v>1349</v>
      </c>
      <c r="W33" s="1365">
        <f t="shared" si="12"/>
        <v>100</v>
      </c>
      <c r="X33" s="1366"/>
      <c r="Y33" s="1324"/>
      <c r="Z33" s="1379">
        <f t="shared" si="13"/>
        <v>111</v>
      </c>
      <c r="AA33" s="1378">
        <f t="shared" si="3"/>
        <v>1</v>
      </c>
      <c r="AB33" s="1378">
        <f t="shared" si="4"/>
        <v>1</v>
      </c>
      <c r="AC33" s="1378">
        <f t="shared" si="5"/>
        <v>1</v>
      </c>
    </row>
    <row r="34" ht="15" spans="1:29">
      <c r="A34" s="1182" t="s">
        <v>1377</v>
      </c>
      <c r="B34" s="1216" t="s">
        <v>1645</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1349</v>
      </c>
      <c r="S34" s="1363" t="e">
        <f t="shared" si="10"/>
        <v>#N/A</v>
      </c>
      <c r="T34" s="1362" t="s">
        <v>1349</v>
      </c>
      <c r="U34" s="1363" t="e">
        <f t="shared" si="11"/>
        <v>#N/A</v>
      </c>
      <c r="V34" s="1362" t="s">
        <v>1349</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1646</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1349</v>
      </c>
      <c r="S35" s="1363">
        <f t="shared" si="10"/>
        <v>100</v>
      </c>
      <c r="T35" s="1362" t="s">
        <v>1349</v>
      </c>
      <c r="U35" s="1363">
        <f t="shared" si="11"/>
        <v>100</v>
      </c>
      <c r="V35" s="1362" t="s">
        <v>1349</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1648</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1349</v>
      </c>
      <c r="S36" s="1358">
        <f t="shared" si="10"/>
        <v>100</v>
      </c>
      <c r="T36" s="1357" t="s">
        <v>1349</v>
      </c>
      <c r="U36" s="1358">
        <f t="shared" si="11"/>
        <v>100</v>
      </c>
      <c r="V36" s="1357" t="s">
        <v>1349</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1649</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1381</v>
      </c>
      <c r="Q37" s="700" t="str">
        <f t="shared" si="14"/>
        <v>工程地质条件</v>
      </c>
      <c r="R37" s="1362" t="s">
        <v>1349</v>
      </c>
      <c r="S37" s="1363">
        <f t="shared" si="10"/>
        <v>100</v>
      </c>
      <c r="T37" s="1362" t="s">
        <v>1349</v>
      </c>
      <c r="U37" s="1363">
        <f t="shared" si="11"/>
        <v>100</v>
      </c>
      <c r="V37" s="1362" t="s">
        <v>1349</v>
      </c>
      <c r="W37" s="1363">
        <f t="shared" si="12"/>
        <v>100</v>
      </c>
      <c r="X37" s="1349"/>
      <c r="Y37" s="1324" t="s">
        <v>1381</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1349</v>
      </c>
      <c r="S38" s="1363">
        <f t="shared" si="10"/>
        <v>100</v>
      </c>
      <c r="T38" s="1362" t="s">
        <v>1349</v>
      </c>
      <c r="U38" s="1363">
        <f t="shared" si="11"/>
        <v>100</v>
      </c>
      <c r="V38" s="1362" t="s">
        <v>1349</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1349</v>
      </c>
      <c r="S39" s="1363">
        <f t="shared" si="10"/>
        <v>100</v>
      </c>
      <c r="T39" s="1362" t="s">
        <v>1349</v>
      </c>
      <c r="U39" s="1363">
        <f t="shared" si="11"/>
        <v>100</v>
      </c>
      <c r="V39" s="1362" t="s">
        <v>1349</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1349</v>
      </c>
      <c r="S40" s="1365">
        <f t="shared" si="10"/>
        <v>100</v>
      </c>
      <c r="T40" s="1364" t="s">
        <v>1349</v>
      </c>
      <c r="U40" s="1365">
        <f t="shared" si="11"/>
        <v>100</v>
      </c>
      <c r="V40" s="1364" t="s">
        <v>1349</v>
      </c>
      <c r="W40" s="1365">
        <f t="shared" si="12"/>
        <v>100</v>
      </c>
      <c r="X40" s="1366"/>
      <c r="Y40" s="1324"/>
      <c r="Z40" s="1379">
        <f t="shared" si="13"/>
        <v>111</v>
      </c>
      <c r="AA40" s="1378">
        <f t="shared" si="3"/>
        <v>1</v>
      </c>
      <c r="AB40" s="1378">
        <f t="shared" si="4"/>
        <v>1</v>
      </c>
      <c r="AC40" s="1378">
        <f t="shared" si="5"/>
        <v>1</v>
      </c>
    </row>
    <row r="41" ht="15" spans="1:29">
      <c r="A41" s="1226" t="s">
        <v>1631</v>
      </c>
      <c r="B41" s="1227" t="s">
        <v>1684</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75" spans="1:29">
      <c r="A42" s="1234" t="s">
        <v>1400</v>
      </c>
      <c r="B42" s="1235"/>
      <c r="C42" s="1236" t="e">
        <f>R43</f>
        <v>#DIV/0!</v>
      </c>
      <c r="D42" s="1237" t="s">
        <v>1401</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75" spans="1:29">
      <c r="A43" s="1240" t="s">
        <v>1402</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1403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1404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1405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7" spans="1:31">
      <c r="A50" s="1252" t="s">
        <v>1652</v>
      </c>
      <c r="B50" s="1253" t="s">
        <v>1653</v>
      </c>
      <c r="C50" s="1254" t="s">
        <v>1654</v>
      </c>
      <c r="D50" s="1255" t="s">
        <v>1655</v>
      </c>
      <c r="E50" s="1256" t="s">
        <v>1656</v>
      </c>
      <c r="F50" s="1257" t="s">
        <v>1657</v>
      </c>
      <c r="G50" s="1136" t="s">
        <v>1658</v>
      </c>
      <c r="H50" s="695"/>
      <c r="I50" s="1336" t="s">
        <v>1685</v>
      </c>
      <c r="J50" s="1336">
        <f>项目基本情况!F35</f>
        <v>0</v>
      </c>
      <c r="K50" s="1337" t="s">
        <v>1660</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1661</v>
      </c>
      <c r="B51" s="1259" t="e">
        <f>C43</f>
        <v>#DIV/0!</v>
      </c>
      <c r="C51" s="1260">
        <v>1</v>
      </c>
      <c r="D51" s="1261">
        <v>1</v>
      </c>
      <c r="E51" s="1260">
        <f>'数据-汇总表'!E8+'数据-汇总表'!E9</f>
        <v>211.57</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1662</v>
      </c>
      <c r="B52" s="411" t="e">
        <f>ROUND($C$43*C52*D52,0)</f>
        <v>#DIV/0!</v>
      </c>
      <c r="C52" s="614">
        <f t="shared" ref="C52:C60" si="16">IF($C$50="北京市系数",I52,J52)</f>
        <v>0</v>
      </c>
      <c r="D52" s="1265">
        <v>0.25</v>
      </c>
      <c r="E52" s="1266"/>
      <c r="F52" s="1262" t="e">
        <f t="shared" si="15"/>
        <v>#DIV/0!</v>
      </c>
      <c r="G52" s="1267" t="s">
        <v>1663</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1664</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1665</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1666</v>
      </c>
      <c r="B56" s="411" t="e">
        <f t="shared" si="17"/>
        <v>#DIV/0!</v>
      </c>
      <c r="C56" s="614">
        <f t="shared" si="16"/>
        <v>0</v>
      </c>
      <c r="D56" s="1265">
        <v>0.25</v>
      </c>
      <c r="E56" s="410">
        <f>'数据-汇总表'!E11</f>
        <v>0</v>
      </c>
      <c r="F56" s="1262" t="e">
        <f t="shared" si="15"/>
        <v>#DIV/0!</v>
      </c>
      <c r="G56" s="1271" t="s">
        <v>1667</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1668</v>
      </c>
      <c r="B57" s="411" t="e">
        <f t="shared" si="17"/>
        <v>#DIV/0!</v>
      </c>
      <c r="C57" s="614">
        <f t="shared" si="16"/>
        <v>0</v>
      </c>
      <c r="D57" s="1265">
        <v>0.25</v>
      </c>
      <c r="E57" s="410">
        <f>'数据-汇总表'!E12</f>
        <v>0</v>
      </c>
      <c r="F57" s="1262" t="e">
        <f t="shared" si="15"/>
        <v>#DIV/0!</v>
      </c>
      <c r="G57" s="1272" t="s">
        <v>1669</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1670</v>
      </c>
      <c r="B58" s="411" t="e">
        <f t="shared" si="17"/>
        <v>#DIV/0!</v>
      </c>
      <c r="C58" s="614">
        <f t="shared" si="16"/>
        <v>0</v>
      </c>
      <c r="D58" s="1265">
        <v>0.25</v>
      </c>
      <c r="E58" s="410">
        <f>'数据-汇总表'!E13</f>
        <v>0</v>
      </c>
      <c r="F58" s="1262" t="e">
        <f t="shared" si="15"/>
        <v>#DIV/0!</v>
      </c>
      <c r="G58" s="1272" t="s">
        <v>1671</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1672</v>
      </c>
      <c r="B59" s="411" t="e">
        <f t="shared" si="17"/>
        <v>#DIV/0!</v>
      </c>
      <c r="C59" s="614">
        <f t="shared" si="16"/>
        <v>0</v>
      </c>
      <c r="D59" s="1265">
        <v>0.25</v>
      </c>
      <c r="E59" s="410">
        <f>'数据-汇总表'!E14</f>
        <v>0</v>
      </c>
      <c r="F59" s="1262" t="e">
        <f t="shared" si="15"/>
        <v>#DIV/0!</v>
      </c>
      <c r="G59" s="1271" t="s">
        <v>1663</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5" spans="1:31">
      <c r="A60" s="1264" t="s">
        <v>1673</v>
      </c>
      <c r="B60" s="411" t="e">
        <f t="shared" si="17"/>
        <v>#DIV/0!</v>
      </c>
      <c r="C60" s="614">
        <f t="shared" si="16"/>
        <v>0</v>
      </c>
      <c r="D60" s="1265">
        <v>0.25</v>
      </c>
      <c r="E60" s="410">
        <f>'数据-汇总表'!E15</f>
        <v>0</v>
      </c>
      <c r="F60" s="1262" t="e">
        <f t="shared" si="15"/>
        <v>#DIV/0!</v>
      </c>
      <c r="G60" s="1273" t="s">
        <v>1667</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5" spans="1:31">
      <c r="A61" s="1275" t="s">
        <v>1674</v>
      </c>
      <c r="B61" s="1276" t="s">
        <v>1675</v>
      </c>
      <c r="C61" s="1276" t="s">
        <v>1675</v>
      </c>
      <c r="D61" s="1276" t="s">
        <v>1675</v>
      </c>
      <c r="E61" s="1276">
        <f>IF(B41="楼面地价",SUM(E51:E60),'数据-汇总表'!D3)</f>
        <v>0</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2023-5-1</v>
      </c>
      <c r="D63" s="1282">
        <f>EDATE(C63,-3)</f>
        <v>44958</v>
      </c>
      <c r="E63" s="1282">
        <f>EDATE(D63,-3)</f>
        <v>44866</v>
      </c>
      <c r="F63" s="1282">
        <f t="shared" ref="F63:O63" si="18">EDATE(E63,-3)</f>
        <v>44774</v>
      </c>
      <c r="G63" s="1282">
        <f t="shared" si="18"/>
        <v>44682</v>
      </c>
      <c r="H63" s="1282">
        <f t="shared" si="18"/>
        <v>44593</v>
      </c>
      <c r="I63" s="1282">
        <f t="shared" si="18"/>
        <v>44501</v>
      </c>
      <c r="J63" s="1282">
        <f t="shared" si="18"/>
        <v>44409</v>
      </c>
      <c r="K63" s="1282">
        <f t="shared" si="18"/>
        <v>44317</v>
      </c>
      <c r="L63" s="1282">
        <f t="shared" si="18"/>
        <v>44228</v>
      </c>
      <c r="M63" s="1282">
        <f t="shared" si="18"/>
        <v>44136</v>
      </c>
      <c r="N63" s="1282">
        <f t="shared" si="18"/>
        <v>44044</v>
      </c>
      <c r="O63" s="1282">
        <f t="shared" si="18"/>
        <v>43952</v>
      </c>
      <c r="P63" s="1243"/>
      <c r="Q63" s="1243"/>
      <c r="R63" s="1243"/>
      <c r="S63" s="1243"/>
      <c r="T63" s="1243"/>
      <c r="U63" s="1243"/>
      <c r="V63" s="1243"/>
      <c r="W63" s="1243"/>
      <c r="X63" s="1243"/>
      <c r="Y63" s="1243"/>
      <c r="Z63" s="1243"/>
      <c r="AA63" s="1243"/>
      <c r="AB63" s="1243"/>
      <c r="AC63" s="1243"/>
      <c r="AD63" s="1243"/>
      <c r="AE63" s="1243"/>
    </row>
    <row r="64" ht="21" spans="1:31">
      <c r="A64" s="1283" t="s">
        <v>1406</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5" spans="1:31">
      <c r="A65" s="1381" t="s">
        <v>1676</v>
      </c>
      <c r="B65" s="1382"/>
      <c r="C65" s="1383" t="str">
        <f>YEAR(C63)&amp;"-"&amp;ROUNDUP(MONTH(C63)/3,0)</f>
        <v>2023-2</v>
      </c>
      <c r="D65" s="1383" t="str">
        <f t="shared" ref="D65:O65" si="19">YEAR(D63)&amp;"-"&amp;ROUNDUP(MONTH(D63)/3,0)</f>
        <v>2023-1</v>
      </c>
      <c r="E65" s="1383" t="str">
        <f t="shared" si="19"/>
        <v>2022-4</v>
      </c>
      <c r="F65" s="1383" t="str">
        <f t="shared" si="19"/>
        <v>2022-3</v>
      </c>
      <c r="G65" s="1383" t="str">
        <f t="shared" si="19"/>
        <v>2022-2</v>
      </c>
      <c r="H65" s="1383" t="str">
        <f t="shared" si="19"/>
        <v>2022-1</v>
      </c>
      <c r="I65" s="1383" t="str">
        <f t="shared" si="19"/>
        <v>2021-4</v>
      </c>
      <c r="J65" s="1383" t="str">
        <f t="shared" si="19"/>
        <v>2021-3</v>
      </c>
      <c r="K65" s="1383" t="str">
        <f t="shared" si="19"/>
        <v>2021-2</v>
      </c>
      <c r="L65" s="1383" t="str">
        <f t="shared" si="19"/>
        <v>2021-1</v>
      </c>
      <c r="M65" s="1383" t="str">
        <f t="shared" si="19"/>
        <v>2020-4</v>
      </c>
      <c r="N65" s="1383" t="str">
        <f t="shared" si="19"/>
        <v>2020-3</v>
      </c>
      <c r="O65" s="1383" t="str">
        <f t="shared" si="19"/>
        <v>2020-2</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1686</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75" spans="1:31">
      <c r="A67" s="1387" t="s">
        <v>1407</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5" spans="1:31">
      <c r="A68" s="1391" t="s">
        <v>1350</v>
      </c>
      <c r="B68" s="1392"/>
      <c r="C68" s="1393" t="s">
        <v>1408</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5.7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spans="1:31">
      <c r="A70" s="1397" t="s">
        <v>1409</v>
      </c>
      <c r="B70" s="1398" t="s">
        <v>1354</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5.7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7.75" spans="1:31">
      <c r="A72" s="1399"/>
      <c r="B72" s="1402" t="s">
        <v>1357</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5.7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75" spans="1:31">
      <c r="A74" s="1399"/>
      <c r="B74" s="1406" t="s">
        <v>1358</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ht="1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5.7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5.7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5.7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5.7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5.7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5.7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5.7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spans="1:31">
      <c r="A83" s="1397" t="s">
        <v>1359</v>
      </c>
      <c r="B83" s="1398" t="s">
        <v>1618</v>
      </c>
      <c r="C83" s="1419" t="s">
        <v>1410</v>
      </c>
      <c r="D83" s="1419" t="s">
        <v>1411</v>
      </c>
      <c r="E83" s="1419" t="s">
        <v>1412</v>
      </c>
      <c r="F83" s="1419" t="s">
        <v>1413</v>
      </c>
      <c r="G83" s="1419" t="s">
        <v>1414</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5.7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75" spans="1:31">
      <c r="A85" s="1399"/>
      <c r="B85" s="1402" t="s">
        <v>1363</v>
      </c>
      <c r="C85" s="1421" t="s">
        <v>1410</v>
      </c>
      <c r="D85" s="1421" t="s">
        <v>1411</v>
      </c>
      <c r="E85" s="1421" t="s">
        <v>1412</v>
      </c>
      <c r="F85" s="1421" t="s">
        <v>1413</v>
      </c>
      <c r="G85" s="1421" t="s">
        <v>1414</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5.7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15.75" spans="1:31">
      <c r="A87" s="1422"/>
      <c r="B87" s="1402" t="s">
        <v>1642</v>
      </c>
      <c r="C87" s="1419" t="s">
        <v>1410</v>
      </c>
      <c r="D87" s="1419" t="s">
        <v>1411</v>
      </c>
      <c r="E87" s="1419" t="s">
        <v>1412</v>
      </c>
      <c r="F87" s="1419" t="s">
        <v>1413</v>
      </c>
      <c r="G87" s="1419" t="s">
        <v>1414</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5.7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7.75" spans="1:31">
      <c r="A89" s="1422"/>
      <c r="B89" s="1402" t="s">
        <v>1643</v>
      </c>
      <c r="C89" s="1419" t="s">
        <v>1410</v>
      </c>
      <c r="D89" s="1419" t="s">
        <v>1411</v>
      </c>
      <c r="E89" s="1419" t="s">
        <v>1412</v>
      </c>
      <c r="F89" s="1419" t="s">
        <v>1413</v>
      </c>
      <c r="G89" s="1419" t="s">
        <v>1414</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5.7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75" spans="1:31">
      <c r="A91" s="1409"/>
      <c r="B91" s="1402" t="s">
        <v>1364</v>
      </c>
      <c r="C91" s="1419" t="s">
        <v>1410</v>
      </c>
      <c r="D91" s="1419" t="s">
        <v>1411</v>
      </c>
      <c r="E91" s="1419" t="s">
        <v>1412</v>
      </c>
      <c r="F91" s="1419" t="s">
        <v>1413</v>
      </c>
      <c r="G91" s="1419" t="s">
        <v>1414</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5.7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75" spans="1:31">
      <c r="A93" s="1409"/>
      <c r="B93" s="1406" t="s">
        <v>1366</v>
      </c>
      <c r="C93" s="1426" t="s">
        <v>1415</v>
      </c>
      <c r="D93" s="1426" t="s">
        <v>1416</v>
      </c>
      <c r="E93" s="1426" t="s">
        <v>1417</v>
      </c>
      <c r="F93" s="1426" t="s">
        <v>1418</v>
      </c>
      <c r="G93" s="1426" t="s">
        <v>1419</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5.7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75" spans="1:31">
      <c r="A95" s="1399"/>
      <c r="B95" s="1402" t="str">
        <f>B27</f>
        <v>临街状况</v>
      </c>
      <c r="C95" s="1403" t="s">
        <v>1678</v>
      </c>
      <c r="D95" s="1403" t="s">
        <v>1679</v>
      </c>
      <c r="E95" s="1403" t="s">
        <v>1680</v>
      </c>
      <c r="F95" s="1403" t="s">
        <v>1681</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5.7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7.75" spans="1:31">
      <c r="A97" s="1399"/>
      <c r="B97" s="1402" t="s">
        <v>1613</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5.7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75" spans="1:31">
      <c r="A99" s="1399"/>
      <c r="B99" s="1402" t="s">
        <v>1644</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5.7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5.7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5.7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5.7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5.7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5.7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spans="1:31">
      <c r="A107" s="1397" t="s">
        <v>1377</v>
      </c>
      <c r="B107" s="1398" t="s">
        <v>1645</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ht="15"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5.7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75" spans="1:31">
      <c r="A110" s="1433"/>
      <c r="B110" s="1402" t="s">
        <v>1646</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5.7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75" spans="1:31">
      <c r="A112" s="1430"/>
      <c r="B112" s="1402" t="s">
        <v>1648</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5.7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75" spans="1:31">
      <c r="A114" s="1433"/>
      <c r="B114" s="1402" t="s">
        <v>1649</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5.7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5.7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5.7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5.7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5.7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5.7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5.7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D52:D60">
      <formula1>"25%,1"</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F39" sqref="F39:F48"/>
    </sheetView>
  </sheetViews>
  <sheetFormatPr defaultColWidth="9" defaultRowHeight="12.75"/>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1687</v>
      </c>
      <c r="C1" s="996" t="s">
        <v>1688</v>
      </c>
      <c r="D1" s="997"/>
      <c r="E1" s="997"/>
      <c r="F1" s="997"/>
      <c r="G1" s="997"/>
      <c r="H1" s="997"/>
      <c r="I1" s="997"/>
      <c r="J1" s="997"/>
      <c r="K1" s="997"/>
      <c r="L1" s="997"/>
      <c r="M1" s="997"/>
      <c r="N1" s="997"/>
      <c r="O1" s="997"/>
      <c r="P1" s="997"/>
      <c r="Q1" s="997"/>
      <c r="R1" s="997"/>
      <c r="S1" s="1079"/>
      <c r="T1" s="995" t="s">
        <v>1689</v>
      </c>
    </row>
    <row r="2" s="985" customFormat="1" spans="1:45">
      <c r="A2" s="998"/>
      <c r="B2" s="999" t="s">
        <v>458</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1690</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1691</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1692</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1693</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1694</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1695</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1696</v>
      </c>
      <c r="B17" s="1030" t="s">
        <v>1697</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1698</v>
      </c>
      <c r="E19" s="1040"/>
      <c r="F19" s="1040"/>
      <c r="G19" s="1040"/>
      <c r="H19" s="1041"/>
      <c r="I19" s="1038"/>
      <c r="J19" s="1038"/>
      <c r="K19" s="1038"/>
      <c r="L19" s="1038"/>
      <c r="M19" s="1038"/>
      <c r="N19" s="1038"/>
      <c r="O19" s="1038"/>
      <c r="P19" s="1038"/>
      <c r="Q19" s="1038"/>
      <c r="R19" s="1106"/>
      <c r="S19" s="1037"/>
    </row>
    <row r="20" ht="16.5" spans="1:19">
      <c r="A20" s="1042" t="s">
        <v>1699</v>
      </c>
      <c r="B20" s="1043" t="e">
        <f ca="1">IF(D20="——",S22,S22-F20)</f>
        <v>#REF!</v>
      </c>
      <c r="C20" s="1038"/>
      <c r="D20" s="1044"/>
      <c r="E20" s="1045"/>
      <c r="F20" s="995" t="e">
        <f ca="1">SUMIF(INDIRECT("'"&amp;H20&amp;"'"&amp;"!A:A"),"承租人权益价值",INDIRECT("'"&amp;H20&amp;"'"&amp;"!c:c"))</f>
        <v>#REF!</v>
      </c>
      <c r="G20" s="995" t="s">
        <v>802</v>
      </c>
      <c r="H20" s="1046"/>
      <c r="I20" s="1038"/>
      <c r="J20" s="1038"/>
      <c r="K20" s="1038"/>
      <c r="L20" s="1038"/>
      <c r="M20" s="1038"/>
      <c r="N20" s="1038"/>
      <c r="O20" s="1038"/>
      <c r="P20" s="1038"/>
      <c r="Q20" s="1038"/>
      <c r="R20" s="1106"/>
      <c r="S20" s="1037"/>
    </row>
    <row r="21" ht="15.75" spans="1:19">
      <c r="A21" s="1042" t="s">
        <v>1700</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1701</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1702</v>
      </c>
      <c r="B23" s="1051" t="s">
        <v>458</v>
      </c>
      <c r="C23" s="1051" t="s">
        <v>1689</v>
      </c>
      <c r="D23" s="1051" t="str">
        <f>B5</f>
        <v>修正项2</v>
      </c>
      <c r="E23" s="1051" t="s">
        <v>1689</v>
      </c>
      <c r="F23" s="1051" t="str">
        <f>B7</f>
        <v>修正项3</v>
      </c>
      <c r="G23" s="1051" t="s">
        <v>1689</v>
      </c>
      <c r="H23" s="1051" t="str">
        <f>B9</f>
        <v>修正项4</v>
      </c>
      <c r="I23" s="1051" t="s">
        <v>1689</v>
      </c>
      <c r="J23" s="1051" t="str">
        <f>B11</f>
        <v>修正项5</v>
      </c>
      <c r="K23" s="1051" t="s">
        <v>1689</v>
      </c>
      <c r="L23" s="1051" t="str">
        <f>B13</f>
        <v>修正项6</v>
      </c>
      <c r="M23" s="1051" t="s">
        <v>1689</v>
      </c>
      <c r="N23" s="1051" t="str">
        <f>B15</f>
        <v>修正项7</v>
      </c>
      <c r="O23" s="1051" t="s">
        <v>1689</v>
      </c>
      <c r="P23" s="1051" t="str">
        <f>B17</f>
        <v>楼层</v>
      </c>
      <c r="Q23" s="1051" t="s">
        <v>1689</v>
      </c>
      <c r="R23" s="1109" t="s">
        <v>1703</v>
      </c>
      <c r="S23" s="1051" t="s">
        <v>1704</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1705</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972" customWidth="1"/>
    <col min="2" max="2" width="12.5" style="972" customWidth="1"/>
    <col min="3" max="3" width="12.125" style="972" customWidth="1"/>
    <col min="4" max="4" width="14.125" style="972" customWidth="1"/>
    <col min="5" max="5" width="12.5" style="972" customWidth="1"/>
    <col min="6" max="16384" width="9" style="972"/>
  </cols>
  <sheetData>
    <row r="1" ht="20.25" spans="1:16">
      <c r="A1" s="973" t="s">
        <v>1706</v>
      </c>
      <c r="B1" s="974"/>
      <c r="C1" s="974"/>
      <c r="D1" s="974"/>
      <c r="E1" s="974"/>
      <c r="F1" s="975"/>
      <c r="G1" s="975"/>
      <c r="H1" s="975"/>
      <c r="I1" s="975"/>
      <c r="J1" s="975"/>
      <c r="K1" s="975"/>
      <c r="L1" s="975"/>
      <c r="M1" s="975"/>
      <c r="N1" s="975"/>
      <c r="O1" s="975"/>
      <c r="P1" s="975"/>
    </row>
    <row r="2" spans="1:16">
      <c r="A2" s="976" t="s">
        <v>97</v>
      </c>
      <c r="B2" s="977" t="e">
        <f ca="1">SUMIF(B6:B13,"&lt;&gt;#ref!",B6:B13)</f>
        <v>#DIV/0!</v>
      </c>
      <c r="C2" s="976" t="s">
        <v>1707</v>
      </c>
      <c r="D2" s="976" t="s">
        <v>1708</v>
      </c>
      <c r="E2" s="978">
        <f ca="1">SUMIF(E6:E13,"&lt;&gt;#ref!",E6:E13)</f>
        <v>0</v>
      </c>
      <c r="F2" s="975"/>
      <c r="G2" s="975"/>
      <c r="H2" s="975"/>
      <c r="I2" s="975"/>
      <c r="J2" s="975"/>
      <c r="K2" s="975"/>
      <c r="L2" s="975"/>
      <c r="M2" s="975"/>
      <c r="N2" s="975"/>
      <c r="O2" s="975"/>
      <c r="P2" s="975"/>
    </row>
    <row r="3" ht="15.75" spans="1:16">
      <c r="A3" s="976" t="s">
        <v>1709</v>
      </c>
      <c r="B3" s="977" t="e">
        <f ca="1">ROUND(B2*10000/E2,0)</f>
        <v>#DIV/0!</v>
      </c>
      <c r="C3" s="976" t="s">
        <v>1710</v>
      </c>
      <c r="D3" s="975"/>
      <c r="E3" s="975"/>
      <c r="F3" s="975"/>
      <c r="G3" s="975"/>
      <c r="H3" s="975"/>
      <c r="I3" s="975"/>
      <c r="J3" s="975"/>
      <c r="K3" s="975"/>
      <c r="L3" s="975"/>
      <c r="M3" s="975"/>
      <c r="N3" s="975"/>
      <c r="O3" s="975"/>
      <c r="P3" s="975"/>
    </row>
    <row r="4" ht="15.75" spans="1:16">
      <c r="A4" s="979"/>
      <c r="B4" s="975"/>
      <c r="C4" s="975"/>
      <c r="D4" s="975"/>
      <c r="E4" s="975"/>
      <c r="F4" s="975"/>
      <c r="G4" s="975"/>
      <c r="H4" s="975"/>
      <c r="I4" s="975"/>
      <c r="J4" s="975"/>
      <c r="K4" s="975"/>
      <c r="L4" s="975"/>
      <c r="M4" s="975"/>
      <c r="N4" s="975"/>
      <c r="O4" s="975"/>
      <c r="P4" s="975"/>
    </row>
    <row r="5" ht="28.5" spans="1:16">
      <c r="A5" s="980" t="s">
        <v>1711</v>
      </c>
      <c r="B5" s="981" t="s">
        <v>1712</v>
      </c>
      <c r="C5" s="982"/>
      <c r="D5" s="975"/>
      <c r="E5" s="983" t="s">
        <v>1713</v>
      </c>
      <c r="F5" s="975"/>
      <c r="G5" s="975"/>
      <c r="H5" s="975"/>
      <c r="I5" s="975"/>
      <c r="J5" s="975"/>
      <c r="K5" s="975"/>
      <c r="L5" s="975"/>
      <c r="M5" s="975"/>
      <c r="N5" s="975"/>
      <c r="O5" s="975"/>
      <c r="P5" s="975"/>
    </row>
    <row r="6" spans="1:16">
      <c r="A6" s="984" t="s">
        <v>1714</v>
      </c>
      <c r="B6" s="977" t="e">
        <f ca="1">SUMIF(INDIRECT("'"&amp;A6&amp;"'"&amp;"!A:A"),"总价",INDIRECT("'"&amp;A6&amp;"'"&amp;"!B:B"))</f>
        <v>#DIV/0!</v>
      </c>
      <c r="C6" s="976" t="s">
        <v>1707</v>
      </c>
      <c r="D6" s="975"/>
      <c r="E6" s="978">
        <f ca="1">SUMIF(INDIRECT("'"&amp;A6&amp;"'"&amp;"!C:C"),"建筑面积",INDIRECT("'"&amp;A6&amp;"'"&amp;"!D:D"))</f>
        <v>0</v>
      </c>
      <c r="F6" s="975"/>
      <c r="G6" s="975"/>
      <c r="H6" s="975"/>
      <c r="I6" s="975"/>
      <c r="J6" s="975"/>
      <c r="K6" s="975"/>
      <c r="L6" s="975"/>
      <c r="M6" s="975"/>
      <c r="N6" s="975"/>
      <c r="O6" s="975"/>
      <c r="P6" s="975"/>
    </row>
    <row r="7" ht="15.75" spans="1:16">
      <c r="A7" s="984"/>
      <c r="B7" s="977" t="e">
        <f ca="1">SUMIF(INDIRECT("'"&amp;A7&amp;"'"&amp;"!A:A"),"总价",INDIRECT("'"&amp;A7&amp;"'"&amp;"!B:B"))</f>
        <v>#REF!</v>
      </c>
      <c r="C7" s="976" t="s">
        <v>1707</v>
      </c>
      <c r="D7" s="975"/>
      <c r="E7" s="978" t="e">
        <f ca="1" t="shared" ref="E7:E13" si="0">SUMIF(INDIRECT("'"&amp;A7&amp;"'"&amp;"!C:C"),"建筑面积",INDIRECT("'"&amp;A7&amp;"'"&amp;"!D:D"))</f>
        <v>#REF!</v>
      </c>
      <c r="F7" s="975"/>
      <c r="G7" s="975"/>
      <c r="H7" s="975"/>
      <c r="I7" s="975"/>
      <c r="J7" s="975"/>
      <c r="K7" s="975"/>
      <c r="L7" s="975"/>
      <c r="M7" s="975"/>
      <c r="N7" s="975"/>
      <c r="O7" s="975"/>
      <c r="P7" s="975"/>
    </row>
    <row r="8" ht="15.75" spans="1:16">
      <c r="A8" s="984"/>
      <c r="B8" s="977" t="e">
        <f ca="1" t="shared" ref="B8:B13" si="1">SUMIF(INDIRECT("'"&amp;A8&amp;"'"&amp;"!A:A"),"总价",INDIRECT("'"&amp;A8&amp;"'"&amp;"!B:B"))</f>
        <v>#REF!</v>
      </c>
      <c r="C8" s="976" t="s">
        <v>1707</v>
      </c>
      <c r="D8" s="975"/>
      <c r="E8" s="978" t="e">
        <f ca="1" t="shared" si="0"/>
        <v>#REF!</v>
      </c>
      <c r="F8" s="975"/>
      <c r="G8" s="975"/>
      <c r="H8" s="975"/>
      <c r="I8" s="975"/>
      <c r="J8" s="975"/>
      <c r="K8" s="975"/>
      <c r="L8" s="975"/>
      <c r="M8" s="975"/>
      <c r="N8" s="975"/>
      <c r="O8" s="975"/>
      <c r="P8" s="975"/>
    </row>
    <row r="9" ht="15.75" spans="1:16">
      <c r="A9" s="984"/>
      <c r="B9" s="977" t="e">
        <f ca="1" t="shared" si="1"/>
        <v>#REF!</v>
      </c>
      <c r="C9" s="976" t="s">
        <v>1707</v>
      </c>
      <c r="D9" s="975"/>
      <c r="E9" s="978" t="e">
        <f ca="1" t="shared" si="0"/>
        <v>#REF!</v>
      </c>
      <c r="F9" s="975"/>
      <c r="G9" s="975"/>
      <c r="H9" s="975"/>
      <c r="I9" s="975"/>
      <c r="J9" s="975"/>
      <c r="K9" s="975"/>
      <c r="L9" s="975"/>
      <c r="M9" s="975"/>
      <c r="N9" s="975"/>
      <c r="O9" s="975"/>
      <c r="P9" s="975"/>
    </row>
    <row r="10" ht="15.75" spans="1:16">
      <c r="A10" s="984"/>
      <c r="B10" s="977" t="e">
        <f ca="1" t="shared" si="1"/>
        <v>#REF!</v>
      </c>
      <c r="C10" s="976" t="s">
        <v>1707</v>
      </c>
      <c r="D10" s="975"/>
      <c r="E10" s="978" t="e">
        <f ca="1" t="shared" si="0"/>
        <v>#REF!</v>
      </c>
      <c r="F10" s="975"/>
      <c r="G10" s="975"/>
      <c r="H10" s="975"/>
      <c r="I10" s="975"/>
      <c r="J10" s="975"/>
      <c r="K10" s="975"/>
      <c r="L10" s="975"/>
      <c r="M10" s="975"/>
      <c r="N10" s="975"/>
      <c r="O10" s="975"/>
      <c r="P10" s="975"/>
    </row>
    <row r="11" ht="15.75" spans="1:16">
      <c r="A11" s="984"/>
      <c r="B11" s="977" t="e">
        <f ca="1" t="shared" si="1"/>
        <v>#REF!</v>
      </c>
      <c r="C11" s="976" t="s">
        <v>1707</v>
      </c>
      <c r="D11" s="975"/>
      <c r="E11" s="978" t="e">
        <f ca="1" t="shared" si="0"/>
        <v>#REF!</v>
      </c>
      <c r="F11" s="975"/>
      <c r="G11" s="975"/>
      <c r="H11" s="975"/>
      <c r="I11" s="975"/>
      <c r="J11" s="975"/>
      <c r="K11" s="975"/>
      <c r="L11" s="975"/>
      <c r="M11" s="975"/>
      <c r="N11" s="975"/>
      <c r="O11" s="975"/>
      <c r="P11" s="975"/>
    </row>
    <row r="12" ht="15.75" spans="1:16">
      <c r="A12" s="984"/>
      <c r="B12" s="977" t="e">
        <f ca="1" t="shared" si="1"/>
        <v>#REF!</v>
      </c>
      <c r="C12" s="976" t="s">
        <v>1707</v>
      </c>
      <c r="D12" s="975"/>
      <c r="E12" s="978" t="e">
        <f ca="1" t="shared" si="0"/>
        <v>#REF!</v>
      </c>
      <c r="F12" s="975"/>
      <c r="G12" s="975"/>
      <c r="H12" s="975"/>
      <c r="I12" s="975"/>
      <c r="J12" s="975"/>
      <c r="K12" s="975"/>
      <c r="L12" s="975"/>
      <c r="M12" s="975"/>
      <c r="N12" s="975"/>
      <c r="O12" s="975"/>
      <c r="P12" s="975"/>
    </row>
    <row r="13" ht="15.75" spans="1:16">
      <c r="A13" s="984"/>
      <c r="B13" s="977" t="e">
        <f ca="1" t="shared" si="1"/>
        <v>#REF!</v>
      </c>
      <c r="C13" s="976" t="s">
        <v>1707</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F39" sqref="F39:F48"/>
    </sheetView>
  </sheetViews>
  <sheetFormatPr defaultColWidth="12" defaultRowHeight="12.75"/>
  <cols>
    <col min="1" max="1" width="9.75" style="570" customWidth="1"/>
    <col min="2" max="2" width="22.5" style="571" customWidth="1"/>
    <col min="3" max="3" width="12" style="572"/>
    <col min="4" max="4" width="14.875" style="572" customWidth="1"/>
    <col min="5" max="5" width="14.625" style="572" customWidth="1"/>
    <col min="6" max="8" width="12" style="572"/>
    <col min="9" max="9" width="12.25" style="572" customWidth="1"/>
    <col min="10" max="10" width="12" style="572"/>
    <col min="11" max="11" width="8.125" style="573" customWidth="1"/>
    <col min="12" max="12" width="19.5" style="572" customWidth="1"/>
    <col min="13" max="13" width="8.5" style="572" customWidth="1"/>
    <col min="14" max="14" width="9.75" style="572" customWidth="1"/>
    <col min="15" max="25" width="12" style="572"/>
    <col min="26" max="26" width="9.375" style="570" customWidth="1"/>
    <col min="27" max="32" width="9.375" style="574" customWidth="1"/>
    <col min="33" max="36" width="9.375" style="570" customWidth="1"/>
    <col min="37" max="38" width="9.375" style="572" customWidth="1"/>
    <col min="39" max="16384" width="12" style="572"/>
  </cols>
  <sheetData>
    <row r="1" ht="28.5" spans="1:36">
      <c r="A1" s="390" t="s">
        <v>1715</v>
      </c>
      <c r="B1" s="391"/>
      <c r="C1" s="394" t="s">
        <v>1332</v>
      </c>
      <c r="D1" s="575">
        <f>SUM(D33:D34,D37:D42)</f>
        <v>0</v>
      </c>
      <c r="E1" s="576"/>
      <c r="F1" s="576"/>
      <c r="G1" s="576"/>
      <c r="H1" s="576"/>
      <c r="I1" s="576"/>
      <c r="J1" s="576"/>
      <c r="K1" s="568"/>
      <c r="L1" s="788" t="s">
        <v>1716</v>
      </c>
      <c r="M1" s="789">
        <f>SUMPRODUCT((区片价!B5:B9=I2)*(区片价!C3:G3=E2)*(区片价!C5:G9))</f>
        <v>0</v>
      </c>
      <c r="N1" s="790">
        <f>SUMPRODUCT((因素修正幅度!B5:B9=I2)*(因素修正幅度!C3:G3=E2)*(因素修正幅度!C5:G9))</f>
        <v>0</v>
      </c>
      <c r="O1" s="569"/>
      <c r="P1" s="569"/>
      <c r="Q1" s="568"/>
      <c r="R1" s="883" t="s">
        <v>1717</v>
      </c>
      <c r="S1" s="883" t="s">
        <v>1718</v>
      </c>
      <c r="T1" s="883" t="s">
        <v>1719</v>
      </c>
      <c r="U1" s="883" t="s">
        <v>1720</v>
      </c>
      <c r="V1" s="883" t="s">
        <v>1721</v>
      </c>
      <c r="W1" s="884"/>
      <c r="X1" s="884"/>
      <c r="Y1" s="884"/>
      <c r="Z1" s="884"/>
      <c r="AA1" s="884"/>
      <c r="AB1" s="884"/>
      <c r="AC1" s="897"/>
      <c r="AD1" s="898"/>
      <c r="AE1" s="898"/>
      <c r="AF1" s="898"/>
      <c r="AG1" s="898"/>
      <c r="AH1" s="898"/>
      <c r="AI1" s="898"/>
      <c r="AJ1" s="907"/>
    </row>
    <row r="2" ht="15.75" spans="1:36">
      <c r="A2" s="394" t="s">
        <v>984</v>
      </c>
      <c r="B2" s="398" t="e">
        <f>C30</f>
        <v>#DIV/0!</v>
      </c>
      <c r="C2" s="577" t="s">
        <v>985</v>
      </c>
      <c r="D2" s="578" t="s">
        <v>1722</v>
      </c>
      <c r="E2" s="579"/>
      <c r="F2" s="578" t="s">
        <v>1723</v>
      </c>
      <c r="G2" s="580">
        <f>IF(E2="商业",项目基本情况!B37,IF(E2="办公",项目基本情况!C37,IF(E2="住宅",项目基本情况!D37,IF(E2="工业",项目基本情况!E37,项目基本情况!F37))))</f>
        <v>0</v>
      </c>
      <c r="H2" s="578" t="s">
        <v>1724</v>
      </c>
      <c r="I2" s="580">
        <f>IF(E2="商业",项目基本情况!B38,IF(E2="办公",项目基本情况!C38,IF(E2="住宅",项目基本情况!D38,IF(E2="工业",项目基本情况!E38,项目基本情况!F38))))</f>
        <v>0</v>
      </c>
      <c r="J2" s="791"/>
      <c r="K2" s="568"/>
      <c r="L2" s="792" t="s">
        <v>1725</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t="e">
        <f t="shared" ref="T2:T16" si="0">ROUND($C$5*$C$22*$C$23*$C$24*S2*$C$28,0)</f>
        <v>#DIV/0!</v>
      </c>
      <c r="U2" s="886"/>
      <c r="V2" s="885" t="e">
        <f>ROUND(T2*U2/10000,0)</f>
        <v>#DIV/0!</v>
      </c>
      <c r="W2" s="884"/>
      <c r="X2" s="884"/>
      <c r="Y2" s="884"/>
      <c r="Z2" s="884"/>
      <c r="AA2" s="884"/>
      <c r="AB2" s="884"/>
      <c r="AC2" s="897"/>
      <c r="AD2" s="898"/>
      <c r="AE2" s="898"/>
      <c r="AF2" s="898"/>
      <c r="AG2" s="898"/>
      <c r="AH2" s="898"/>
      <c r="AI2" s="898"/>
      <c r="AJ2" s="907"/>
    </row>
    <row r="3" ht="15.75" spans="1:36">
      <c r="A3" s="397" t="s">
        <v>986</v>
      </c>
      <c r="B3" s="398" t="e">
        <f>ROUND(B2*10000/D1,0)</f>
        <v>#DIV/0!</v>
      </c>
      <c r="C3" s="577" t="s">
        <v>987</v>
      </c>
      <c r="D3" s="578" t="s">
        <v>1726</v>
      </c>
      <c r="E3" s="581"/>
      <c r="F3" s="582"/>
      <c r="G3" s="583">
        <f>IF(F3="宗地容积率",'数据-汇总表'!I4,IF(F3="估价对象容积率",'数据-汇总表'!I6,'数据-汇总表'!I7))</f>
        <v>0</v>
      </c>
      <c r="H3" s="584" t="s">
        <v>1727</v>
      </c>
      <c r="I3" s="794"/>
      <c r="J3" s="791" t="s">
        <v>1728</v>
      </c>
      <c r="K3" s="568"/>
      <c r="L3" s="792" t="s">
        <v>1729</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t="e">
        <f t="shared" si="0"/>
        <v>#DIV/0!</v>
      </c>
      <c r="U3" s="886"/>
      <c r="V3" s="885" t="e">
        <f t="shared" ref="V3:V16" si="1">ROUND(T3*U3/10000,0)</f>
        <v>#DIV/0!</v>
      </c>
      <c r="W3" s="884"/>
      <c r="X3" s="884"/>
      <c r="Y3" s="884"/>
      <c r="Z3" s="884"/>
      <c r="AA3" s="884"/>
      <c r="AB3" s="884"/>
      <c r="AC3" s="897"/>
      <c r="AD3" s="898"/>
      <c r="AE3" s="898"/>
      <c r="AF3" s="898"/>
      <c r="AG3" s="898"/>
      <c r="AH3" s="898"/>
      <c r="AI3" s="898"/>
      <c r="AJ3" s="907"/>
    </row>
    <row r="4" ht="15.75" spans="1:36">
      <c r="A4" s="585"/>
      <c r="B4" s="586"/>
      <c r="C4" s="586"/>
      <c r="D4" s="587"/>
      <c r="E4" s="587"/>
      <c r="F4" s="587"/>
      <c r="G4" s="587"/>
      <c r="H4" s="587"/>
      <c r="I4" s="587"/>
      <c r="J4" s="795"/>
      <c r="K4" s="568"/>
      <c r="L4" s="792" t="s">
        <v>1730</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t="e">
        <f t="shared" si="0"/>
        <v>#DIV/0!</v>
      </c>
      <c r="U4" s="886"/>
      <c r="V4" s="885" t="e">
        <f t="shared" si="1"/>
        <v>#DIV/0!</v>
      </c>
      <c r="W4" s="884"/>
      <c r="X4" s="884"/>
      <c r="Y4" s="884"/>
      <c r="Z4" s="884"/>
      <c r="AA4" s="884"/>
      <c r="AB4" s="884"/>
      <c r="AC4" s="897"/>
      <c r="AD4" s="898"/>
      <c r="AE4" s="898"/>
      <c r="AF4" s="898"/>
      <c r="AG4" s="898"/>
      <c r="AH4" s="898"/>
      <c r="AI4" s="898"/>
      <c r="AJ4" s="907"/>
    </row>
    <row r="5" s="567" customFormat="1" ht="15.75" spans="1:36">
      <c r="A5" s="588" t="s">
        <v>890</v>
      </c>
      <c r="B5" s="589" t="s">
        <v>1731</v>
      </c>
      <c r="C5" s="590" t="e">
        <f>ROUND(IF(E2="商业",C6*C7*C17+C20,(IF(E2="住宅",C6*C13*C17+C20,IF(E2="办公",C6*C12*C17+C20,C6+C20)))),0)</f>
        <v>#DIV/0!</v>
      </c>
      <c r="D5" s="591" t="e">
        <f>ROUND(C6*C17+C20,0)</f>
        <v>#DIV/0!</v>
      </c>
      <c r="E5" s="591"/>
      <c r="F5" s="592"/>
      <c r="G5" s="593"/>
      <c r="H5" s="593"/>
      <c r="I5" s="593"/>
      <c r="J5" s="796"/>
      <c r="K5" s="797"/>
      <c r="L5" s="792" t="s">
        <v>1732</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t="e">
        <f t="shared" si="0"/>
        <v>#DIV/0!</v>
      </c>
      <c r="U5" s="886"/>
      <c r="V5" s="885" t="e">
        <f t="shared" si="1"/>
        <v>#DIV/0!</v>
      </c>
      <c r="W5" s="884"/>
      <c r="X5" s="884"/>
      <c r="Y5" s="884"/>
      <c r="Z5" s="884"/>
      <c r="AA5" s="884"/>
      <c r="AB5" s="884"/>
      <c r="AC5" s="899"/>
      <c r="AD5" s="900"/>
      <c r="AE5" s="900"/>
      <c r="AF5" s="900"/>
      <c r="AG5" s="900"/>
      <c r="AH5" s="900"/>
      <c r="AI5" s="900"/>
      <c r="AJ5" s="908"/>
    </row>
    <row r="6" ht="15.75" spans="1:36">
      <c r="A6" s="594" t="s">
        <v>989</v>
      </c>
      <c r="B6" s="595" t="s">
        <v>1733</v>
      </c>
      <c r="C6" s="596">
        <f>SUMIF(L1:L12,G2,M1:M12)</f>
        <v>0</v>
      </c>
      <c r="D6" s="597"/>
      <c r="E6" s="598"/>
      <c r="F6" s="598"/>
      <c r="G6" s="599"/>
      <c r="H6" s="599"/>
      <c r="I6" s="599"/>
      <c r="J6" s="798"/>
      <c r="K6" s="799"/>
      <c r="L6" s="792" t="s">
        <v>1734</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t="e">
        <f t="shared" si="0"/>
        <v>#DIV/0!</v>
      </c>
      <c r="U6" s="886"/>
      <c r="V6" s="885" t="e">
        <f t="shared" si="1"/>
        <v>#DIV/0!</v>
      </c>
      <c r="W6" s="884"/>
      <c r="X6" s="884"/>
      <c r="Y6" s="884"/>
      <c r="Z6" s="884"/>
      <c r="AA6" s="884"/>
      <c r="AB6" s="884"/>
      <c r="AC6" s="899"/>
      <c r="AD6" s="900"/>
      <c r="AE6" s="900"/>
      <c r="AF6" s="900"/>
      <c r="AG6" s="900"/>
      <c r="AH6" s="900"/>
      <c r="AI6" s="900"/>
      <c r="AJ6" s="908"/>
    </row>
    <row r="7" ht="24.75" spans="1:36">
      <c r="A7" s="600" t="s">
        <v>1735</v>
      </c>
      <c r="B7" s="601" t="s">
        <v>1736</v>
      </c>
      <c r="C7" s="602" t="e">
        <f>IF(C8="不临65条商业街",1,ROUND(1+(1.6*E8+1.2*E9+0.8*E10+0.4*E11)*C9,4))</f>
        <v>#DIV/0!</v>
      </c>
      <c r="D7" s="603" t="s">
        <v>1737</v>
      </c>
      <c r="E7" s="604"/>
      <c r="F7" s="605"/>
      <c r="G7" s="606"/>
      <c r="H7" s="606"/>
      <c r="I7" s="606"/>
      <c r="J7" s="800"/>
      <c r="K7" s="799"/>
      <c r="L7" s="792" t="s">
        <v>1738</v>
      </c>
      <c r="M7" s="793">
        <f>SUMPRODUCT((区片价!B190:B233=I2)*(区片价!C3:G3=E2)*(区片价!C190:G233))</f>
        <v>0</v>
      </c>
      <c r="N7" s="790">
        <f>SUMPRODUCT((因素修正幅度!B190:B233=I2)*(因素修正幅度!C3:G3=E2)*(因素修正幅度!C190:G233))</f>
        <v>0</v>
      </c>
      <c r="O7" s="568"/>
      <c r="P7" s="568"/>
      <c r="Q7" s="568"/>
      <c r="R7" s="883">
        <v>6</v>
      </c>
      <c r="S7" s="887"/>
      <c r="T7" s="885" t="e">
        <f t="shared" si="0"/>
        <v>#DIV/0!</v>
      </c>
      <c r="U7" s="886"/>
      <c r="V7" s="885" t="e">
        <f t="shared" si="1"/>
        <v>#DIV/0!</v>
      </c>
      <c r="W7" s="888" t="s">
        <v>1739</v>
      </c>
      <c r="X7" s="889">
        <f>G2</f>
        <v>0</v>
      </c>
      <c r="Y7" s="889" t="s">
        <v>1740</v>
      </c>
      <c r="Z7" s="901">
        <f>G3</f>
        <v>0</v>
      </c>
      <c r="AA7" s="884"/>
      <c r="AB7" s="884"/>
      <c r="AC7" s="897"/>
      <c r="AD7" s="898"/>
      <c r="AE7" s="898"/>
      <c r="AF7" s="898"/>
      <c r="AG7" s="898"/>
      <c r="AH7" s="898"/>
      <c r="AI7" s="898"/>
      <c r="AJ7" s="907"/>
    </row>
    <row r="8" ht="15" spans="1:36">
      <c r="A8" s="607"/>
      <c r="B8" s="584" t="s">
        <v>1741</v>
      </c>
      <c r="C8" s="608"/>
      <c r="D8" s="609" t="s">
        <v>1742</v>
      </c>
      <c r="E8" s="610" t="e">
        <f>ROUND(C11/E7,4)</f>
        <v>#DIV/0!</v>
      </c>
      <c r="F8" s="611" t="s">
        <v>1743</v>
      </c>
      <c r="G8" s="612"/>
      <c r="H8" s="612"/>
      <c r="I8" s="612"/>
      <c r="J8" s="801"/>
      <c r="K8" s="568"/>
      <c r="L8" s="792" t="s">
        <v>1744</v>
      </c>
      <c r="M8" s="793">
        <f>SUMPRODUCT((区片价!B234:B276=I2)*(区片价!C3:G3=E2)*(区片价!C234:G276))</f>
        <v>0</v>
      </c>
      <c r="N8" s="790">
        <f>SUMPRODUCT((因素修正幅度!B234:B276=I2)*(因素修正幅度!C3:G3=E2)*(因素修正幅度!C234:G276))</f>
        <v>0</v>
      </c>
      <c r="O8" s="568"/>
      <c r="P8" s="568"/>
      <c r="Q8" s="568"/>
      <c r="R8" s="883">
        <v>7</v>
      </c>
      <c r="S8" s="886"/>
      <c r="T8" s="885" t="e">
        <f t="shared" si="0"/>
        <v>#DIV/0!</v>
      </c>
      <c r="U8" s="886"/>
      <c r="V8" s="885" t="e">
        <f t="shared" si="1"/>
        <v>#DIV/0!</v>
      </c>
      <c r="W8" s="890" t="s">
        <v>1745</v>
      </c>
      <c r="X8" s="891"/>
      <c r="Y8" s="902" t="s">
        <v>1746</v>
      </c>
      <c r="Z8" s="902" t="s">
        <v>1747</v>
      </c>
      <c r="AA8" s="902" t="s">
        <v>1748</v>
      </c>
      <c r="AB8" s="902" t="s">
        <v>1749</v>
      </c>
      <c r="AC8" s="902" t="s">
        <v>1750</v>
      </c>
      <c r="AD8" s="902" t="s">
        <v>1751</v>
      </c>
      <c r="AE8" s="902" t="s">
        <v>1752</v>
      </c>
      <c r="AF8" s="902" t="s">
        <v>1753</v>
      </c>
      <c r="AG8" s="902" t="s">
        <v>1754</v>
      </c>
      <c r="AH8" s="902" t="s">
        <v>1755</v>
      </c>
      <c r="AI8" s="902" t="s">
        <v>1756</v>
      </c>
      <c r="AJ8" s="902" t="s">
        <v>1757</v>
      </c>
    </row>
    <row r="9" ht="15" spans="1:36">
      <c r="A9" s="607"/>
      <c r="B9" s="584" t="s">
        <v>1758</v>
      </c>
      <c r="C9" s="613">
        <f>SUMIF(修正!C71:C138,C8,修正!E71:E138)</f>
        <v>0</v>
      </c>
      <c r="D9" s="614" t="s">
        <v>1759</v>
      </c>
      <c r="E9" s="614" t="e">
        <f>ROUND(C11/E7,4)</f>
        <v>#DIV/0!</v>
      </c>
      <c r="F9" s="611" t="s">
        <v>1760</v>
      </c>
      <c r="G9" s="612"/>
      <c r="H9" s="612"/>
      <c r="I9" s="612"/>
      <c r="J9" s="801"/>
      <c r="K9" s="568"/>
      <c r="L9" s="792" t="s">
        <v>1761</v>
      </c>
      <c r="M9" s="793">
        <f>SUMPRODUCT((区片价!B277:B326=I2)*(区片价!C3:G3=E2)*(区片价!C277:G326))</f>
        <v>0</v>
      </c>
      <c r="N9" s="790">
        <f>SUMPRODUCT((因素修正幅度!B277:B326=I2)*(因素修正幅度!C3:G3=E2)*(因素修正幅度!C277:G326))</f>
        <v>0</v>
      </c>
      <c r="O9" s="568"/>
      <c r="P9" s="568"/>
      <c r="Q9" s="568"/>
      <c r="R9" s="883">
        <v>8</v>
      </c>
      <c r="S9" s="886"/>
      <c r="T9" s="885" t="e">
        <f t="shared" si="0"/>
        <v>#DIV/0!</v>
      </c>
      <c r="U9" s="886"/>
      <c r="V9" s="885" t="e">
        <f t="shared" si="1"/>
        <v>#DIV/0!</v>
      </c>
      <c r="W9" s="888"/>
      <c r="X9" s="892" t="s">
        <v>1762</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1763</v>
      </c>
      <c r="C10" s="614">
        <f>SUMIF(修正!C71:C138,C8,修正!F71:F138)</f>
        <v>0</v>
      </c>
      <c r="D10" s="614" t="s">
        <v>1764</v>
      </c>
      <c r="E10" s="614" t="e">
        <f>ROUND(C11/E7,4)</f>
        <v>#DIV/0!</v>
      </c>
      <c r="F10" s="611" t="s">
        <v>1765</v>
      </c>
      <c r="G10" s="612"/>
      <c r="H10" s="612"/>
      <c r="I10" s="612"/>
      <c r="J10" s="801"/>
      <c r="K10" s="568"/>
      <c r="L10" s="792" t="s">
        <v>1766</v>
      </c>
      <c r="M10" s="793">
        <f>SUMPRODUCT((区片价!B327:B357=I2)*(区片价!C3:G3=E2)*(区片价!C327:G357))</f>
        <v>0</v>
      </c>
      <c r="N10" s="790">
        <f>SUMPRODUCT((因素修正幅度!B327:B357=I2)*(因素修正幅度!C3:G3=E2)*(因素修正幅度!C327:G357))</f>
        <v>0</v>
      </c>
      <c r="O10" s="568"/>
      <c r="P10" s="568"/>
      <c r="Q10" s="568"/>
      <c r="R10" s="883">
        <v>9</v>
      </c>
      <c r="S10" s="886"/>
      <c r="T10" s="885" t="e">
        <f t="shared" si="0"/>
        <v>#DIV/0!</v>
      </c>
      <c r="U10" s="886"/>
      <c r="V10" s="885" t="e">
        <f t="shared" si="1"/>
        <v>#DIV/0!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1767</v>
      </c>
      <c r="C11" s="617">
        <f>C10/4</f>
        <v>0</v>
      </c>
      <c r="D11" s="617" t="s">
        <v>1768</v>
      </c>
      <c r="E11" s="617" t="e">
        <f>ROUND(C11/E7,4)</f>
        <v>#DIV/0!</v>
      </c>
      <c r="F11" s="618" t="s">
        <v>1769</v>
      </c>
      <c r="G11" s="619"/>
      <c r="H11" s="619"/>
      <c r="I11" s="619"/>
      <c r="J11" s="802"/>
      <c r="K11" s="568"/>
      <c r="L11" s="792" t="s">
        <v>1770</v>
      </c>
      <c r="M11" s="793">
        <f>SUMPRODUCT((区片价!B358:B377=I2)*(区片价!C3:G3=E2)*(区片价!C358:G377))</f>
        <v>0</v>
      </c>
      <c r="N11" s="790">
        <f>SUMPRODUCT((因素修正幅度!B358:B377=I2)*(因素修正幅度!C3:G3=E2)*(因素修正幅度!C358:G377))</f>
        <v>0</v>
      </c>
      <c r="O11" s="568"/>
      <c r="P11" s="568"/>
      <c r="Q11" s="568"/>
      <c r="R11" s="883">
        <v>10</v>
      </c>
      <c r="S11" s="886"/>
      <c r="T11" s="885" t="e">
        <f t="shared" si="0"/>
        <v>#DIV/0!</v>
      </c>
      <c r="U11" s="886"/>
      <c r="V11" s="885" t="e">
        <f t="shared" si="1"/>
        <v>#DIV/0!</v>
      </c>
      <c r="W11" s="884"/>
      <c r="X11" s="884"/>
      <c r="Y11" s="884"/>
      <c r="Z11" s="884"/>
      <c r="AA11" s="884"/>
      <c r="AB11" s="884"/>
      <c r="AC11" s="897"/>
      <c r="AD11" s="906"/>
      <c r="AE11" s="906"/>
      <c r="AF11" s="906"/>
      <c r="AG11" s="906"/>
      <c r="AH11" s="906"/>
      <c r="AI11" s="906"/>
      <c r="AJ11" s="909"/>
    </row>
    <row r="12" ht="25.5" spans="1:36">
      <c r="A12" s="600" t="s">
        <v>1771</v>
      </c>
      <c r="B12" s="620" t="s">
        <v>1772</v>
      </c>
      <c r="C12" s="621"/>
      <c r="D12" s="622" t="s">
        <v>1773</v>
      </c>
      <c r="E12" s="623" t="s">
        <v>1774</v>
      </c>
      <c r="F12" s="624"/>
      <c r="G12" s="625"/>
      <c r="H12" s="625"/>
      <c r="I12" s="625"/>
      <c r="J12" s="803"/>
      <c r="K12" s="568"/>
      <c r="L12" s="804" t="s">
        <v>1775</v>
      </c>
      <c r="M12" s="805">
        <f>SUMPRODUCT((区片价!B378:B384=I2)*(区片价!C3:G3=E2)*(区片价!C378:G384))</f>
        <v>0</v>
      </c>
      <c r="N12" s="790">
        <f>SUMPRODUCT((因素修正幅度!B378:B384=I2)*(因素修正幅度!C3:G3=E2)*(因素修正幅度!C378:G384))</f>
        <v>0</v>
      </c>
      <c r="O12" s="568"/>
      <c r="P12" s="568"/>
      <c r="Q12" s="568"/>
      <c r="R12" s="883">
        <v>11</v>
      </c>
      <c r="S12" s="886"/>
      <c r="T12" s="885" t="e">
        <f t="shared" si="0"/>
        <v>#DIV/0!</v>
      </c>
      <c r="U12" s="886"/>
      <c r="V12" s="885" t="e">
        <f t="shared" si="1"/>
        <v>#DIV/0!</v>
      </c>
      <c r="W12" s="884"/>
      <c r="X12" s="884"/>
      <c r="Y12" s="884"/>
      <c r="Z12" s="884"/>
      <c r="AA12" s="884"/>
      <c r="AB12" s="884"/>
      <c r="AC12" s="897"/>
      <c r="AD12" s="906"/>
      <c r="AE12" s="906"/>
      <c r="AF12" s="906"/>
      <c r="AG12" s="906"/>
      <c r="AH12" s="906"/>
      <c r="AI12" s="906"/>
      <c r="AJ12" s="909"/>
    </row>
    <row r="13" ht="15.75" spans="1:36">
      <c r="A13" s="600" t="s">
        <v>1776</v>
      </c>
      <c r="B13" s="626" t="s">
        <v>1777</v>
      </c>
      <c r="C13" s="602">
        <f>ROUND(C16*D16*E16*F16*G16*H16*I16*J16,4)</f>
        <v>0</v>
      </c>
      <c r="D13" s="627" t="s">
        <v>1778</v>
      </c>
      <c r="E13" s="628"/>
      <c r="F13" s="628"/>
      <c r="G13" s="629"/>
      <c r="H13" s="629"/>
      <c r="I13" s="629"/>
      <c r="J13" s="806"/>
      <c r="K13" s="568"/>
      <c r="L13" s="807"/>
      <c r="M13" s="808"/>
      <c r="N13" s="809"/>
      <c r="O13" s="568"/>
      <c r="P13" s="568"/>
      <c r="Q13" s="568"/>
      <c r="R13" s="883">
        <v>12</v>
      </c>
      <c r="S13" s="886"/>
      <c r="T13" s="885" t="e">
        <f t="shared" si="0"/>
        <v>#DIV/0!</v>
      </c>
      <c r="U13" s="886"/>
      <c r="V13" s="885" t="e">
        <f t="shared" si="1"/>
        <v>#DIV/0!</v>
      </c>
      <c r="W13" s="884"/>
      <c r="X13" s="884"/>
      <c r="Y13" s="884"/>
      <c r="Z13" s="884"/>
      <c r="AA13" s="884"/>
      <c r="AB13" s="884"/>
      <c r="AC13" s="897"/>
      <c r="AD13" s="906"/>
      <c r="AE13" s="906"/>
      <c r="AF13" s="906"/>
      <c r="AG13" s="906"/>
      <c r="AH13" s="906"/>
      <c r="AI13" s="906"/>
      <c r="AJ13" s="909"/>
    </row>
    <row r="14" ht="15" spans="1:36">
      <c r="A14" s="630"/>
      <c r="B14" s="631" t="s">
        <v>1779</v>
      </c>
      <c r="C14" s="632" t="s">
        <v>1780</v>
      </c>
      <c r="D14" s="633" t="s">
        <v>1781</v>
      </c>
      <c r="E14" s="634" t="s">
        <v>1782</v>
      </c>
      <c r="F14" s="635" t="s">
        <v>1783</v>
      </c>
      <c r="G14" s="635" t="s">
        <v>1783</v>
      </c>
      <c r="H14" s="635" t="s">
        <v>1783</v>
      </c>
      <c r="I14" s="635" t="s">
        <v>1783</v>
      </c>
      <c r="J14" s="635" t="s">
        <v>1783</v>
      </c>
      <c r="K14" s="568"/>
      <c r="L14" s="568"/>
      <c r="M14" s="568"/>
      <c r="N14" s="568"/>
      <c r="O14" s="568"/>
      <c r="P14" s="568"/>
      <c r="Q14" s="568"/>
      <c r="R14" s="883">
        <v>13</v>
      </c>
      <c r="S14" s="886"/>
      <c r="T14" s="885" t="e">
        <f t="shared" si="0"/>
        <v>#DIV/0!</v>
      </c>
      <c r="U14" s="886"/>
      <c r="V14" s="885" t="e">
        <f t="shared" si="1"/>
        <v>#DIV/0!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1784</v>
      </c>
      <c r="G15" s="641"/>
      <c r="H15" s="642"/>
      <c r="I15" s="810"/>
      <c r="J15" s="811"/>
      <c r="K15" s="568"/>
      <c r="L15" s="568"/>
      <c r="M15" s="568"/>
      <c r="N15" s="568"/>
      <c r="O15" s="568"/>
      <c r="P15" s="568"/>
      <c r="Q15" s="568"/>
      <c r="R15" s="883">
        <v>14</v>
      </c>
      <c r="S15" s="886"/>
      <c r="T15" s="885" t="e">
        <f t="shared" si="0"/>
        <v>#DIV/0!</v>
      </c>
      <c r="U15" s="886"/>
      <c r="V15" s="885" t="e">
        <f t="shared" si="1"/>
        <v>#DIV/0!</v>
      </c>
      <c r="W15" s="884"/>
      <c r="X15" s="884"/>
      <c r="Y15" s="884"/>
      <c r="Z15" s="884"/>
      <c r="AA15" s="884"/>
      <c r="AB15" s="884"/>
      <c r="AC15" s="897"/>
      <c r="AD15" s="906"/>
      <c r="AE15" s="906"/>
      <c r="AF15" s="906"/>
      <c r="AG15" s="906"/>
      <c r="AH15" s="906"/>
      <c r="AI15" s="906"/>
      <c r="AJ15" s="909"/>
    </row>
    <row r="16" ht="15.75" spans="1:36">
      <c r="A16" s="630"/>
      <c r="B16" s="643" t="s">
        <v>1689</v>
      </c>
      <c r="C16" s="644"/>
      <c r="D16" s="644"/>
      <c r="E16" s="644"/>
      <c r="F16" s="644">
        <v>1</v>
      </c>
      <c r="G16" s="644">
        <v>1</v>
      </c>
      <c r="H16" s="644">
        <v>1</v>
      </c>
      <c r="I16" s="644">
        <v>1</v>
      </c>
      <c r="J16" s="812">
        <v>1</v>
      </c>
      <c r="K16" s="568"/>
      <c r="L16" s="569"/>
      <c r="M16" s="569"/>
      <c r="N16" s="569"/>
      <c r="O16" s="569"/>
      <c r="P16" s="569"/>
      <c r="Q16" s="568"/>
      <c r="R16" s="883">
        <v>15</v>
      </c>
      <c r="S16" s="886"/>
      <c r="T16" s="885" t="e">
        <f t="shared" si="0"/>
        <v>#DIV/0!</v>
      </c>
      <c r="U16" s="886"/>
      <c r="V16" s="885" t="e">
        <f t="shared" si="1"/>
        <v>#DIV/0!</v>
      </c>
      <c r="W16" s="884"/>
      <c r="X16" s="884"/>
      <c r="Y16" s="884"/>
      <c r="Z16" s="884"/>
      <c r="AA16" s="884"/>
      <c r="AB16" s="884"/>
      <c r="AC16" s="897"/>
      <c r="AD16" s="906"/>
      <c r="AE16" s="906"/>
      <c r="AF16" s="906"/>
      <c r="AG16" s="906"/>
      <c r="AH16" s="906"/>
      <c r="AI16" s="906"/>
      <c r="AJ16" s="909"/>
    </row>
    <row r="17" spans="1:36">
      <c r="A17" s="645" t="s">
        <v>1785</v>
      </c>
      <c r="B17" s="646" t="s">
        <v>1786</v>
      </c>
      <c r="C17" s="647">
        <f>ROUND(IF(OR(E2="工业",E2="公共服务"),1,IF(AND(E18=0,E19=0),1,IF(AND(E18=J24,E19=G19),0.8,IF(E19=0,1+E17*(-0.2),1+E17*G17*(-0.2))))),4)</f>
        <v>1</v>
      </c>
      <c r="D17" s="648" t="s">
        <v>1787</v>
      </c>
      <c r="E17" s="647" t="e">
        <f>ROUND(G18/I18,2)</f>
        <v>#DIV/0!</v>
      </c>
      <c r="F17" s="648" t="s">
        <v>1788</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4.25" spans="1:36">
      <c r="A18" s="649"/>
      <c r="B18" s="650"/>
      <c r="C18" s="651"/>
      <c r="D18" s="652" t="s">
        <v>1789</v>
      </c>
      <c r="E18" s="653"/>
      <c r="F18" s="654" t="s">
        <v>1790</v>
      </c>
      <c r="G18" s="651">
        <f>ROUND(1-(1/(POWER(1+G24,E18))),4)</f>
        <v>0</v>
      </c>
      <c r="H18" s="654" t="s">
        <v>1791</v>
      </c>
      <c r="I18" s="651">
        <f>ROUND(1-(1/(POWER(1+G24,J24))),4)</f>
        <v>0</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5" spans="1:37">
      <c r="A19" s="655"/>
      <c r="B19" s="656"/>
      <c r="C19" s="657"/>
      <c r="D19" s="657" t="s">
        <v>1792</v>
      </c>
      <c r="E19" s="658"/>
      <c r="F19" s="659" t="s">
        <v>1793</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4.25" spans="1:36">
      <c r="A20" s="660" t="s">
        <v>1794</v>
      </c>
      <c r="B20" s="661" t="s">
        <v>1795</v>
      </c>
      <c r="C20" s="662" t="e">
        <f>ROUND(IF(F21="与级别开发程度一致",0,(G21-E21)/C21),0)</f>
        <v>#DIV/0!</v>
      </c>
      <c r="D20" s="663" t="s">
        <v>1796</v>
      </c>
      <c r="E20" s="664"/>
      <c r="F20" s="665" t="s">
        <v>1797</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15" spans="1:36">
      <c r="A21" s="668"/>
      <c r="B21" s="669" t="s">
        <v>1798</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75" spans="1:36">
      <c r="A22" s="675" t="s">
        <v>901</v>
      </c>
      <c r="B22" s="676" t="s">
        <v>1799</v>
      </c>
      <c r="C22" s="677">
        <f>SUMIF(修正!C20:C51,E3,修正!E20:E51)</f>
        <v>0</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906</v>
      </c>
      <c r="B23" s="681" t="s">
        <v>1800</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83" t="s">
        <v>1801</v>
      </c>
      <c r="E23" s="684">
        <v>44197</v>
      </c>
      <c r="F23" s="683" t="s">
        <v>1802</v>
      </c>
      <c r="G23" s="685">
        <f>'数据-取费表'!B2</f>
        <v>45069</v>
      </c>
      <c r="H23" s="686" t="s">
        <v>1803</v>
      </c>
      <c r="I23" s="825" t="str">
        <f>IF(H23="季度增幅（自定义）",SUMIF(N25:N28,E2,O25:O28),"")</f>
        <v/>
      </c>
      <c r="J23" s="826" t="s">
        <v>1804</v>
      </c>
      <c r="K23" s="822"/>
      <c r="L23" s="827" t="s">
        <v>1805</v>
      </c>
      <c r="M23" s="828">
        <f>ROUND(SUMIF(地价!B2:G2,E2,地价!B16:G16),0)</f>
        <v>0</v>
      </c>
      <c r="N23" s="829" t="s">
        <v>1806</v>
      </c>
      <c r="O23" s="830">
        <f>ROUNDDOWN(DATEDIF(E23,G23,"M")/3,0)</f>
        <v>9</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909</v>
      </c>
      <c r="B24" s="688" t="s">
        <v>1807</v>
      </c>
      <c r="C24" s="689" t="e">
        <f>ROUND(POWER(1+G24,J24-I24)*(POWER(1+G24,I24)-1)/(POWER(1+G24,J24)-1),4)</f>
        <v>#DIV/0!</v>
      </c>
      <c r="D24" s="690" t="s">
        <v>1808</v>
      </c>
      <c r="E24" s="691">
        <f>存贷款利率!E22/100</f>
        <v>0.0435</v>
      </c>
      <c r="F24" s="690" t="s">
        <v>1809</v>
      </c>
      <c r="G24" s="692">
        <f>SUMIF(M30:Q30,E2,M33:Q33)</f>
        <v>0</v>
      </c>
      <c r="H24" s="690" t="s">
        <v>1810</v>
      </c>
      <c r="I24" s="832" t="e">
        <f>SUMIF('数据-取费表'!C6:C15,E2,'数据-取费表'!F6:F15)/COUNTIF('数据-取费表'!C6:C15,E2)</f>
        <v>#DIV/0!</v>
      </c>
      <c r="J24" s="833">
        <f>IF(E2="住宅",70,IF(E2="商业",40,50))</f>
        <v>50</v>
      </c>
      <c r="K24" s="822"/>
      <c r="L24" s="834" t="s">
        <v>1811</v>
      </c>
      <c r="M24" s="835">
        <f>ROUND(SUMPRODUCT((地价!A4:A16=YEAR(G23)&amp;"-"&amp;ROUNDUP(MONTH(G23)/3,0))*(地价!B2:G2=E2)*(地价!B4:G16)),0)</f>
        <v>0</v>
      </c>
      <c r="N24" s="836" t="s">
        <v>1812</v>
      </c>
      <c r="O24" s="837" t="s">
        <v>1813</v>
      </c>
      <c r="P24" s="838" t="s">
        <v>1814</v>
      </c>
      <c r="Q24" s="569"/>
      <c r="R24" s="893"/>
      <c r="S24" s="893"/>
      <c r="T24" s="752"/>
      <c r="U24" s="752"/>
      <c r="V24" s="752"/>
      <c r="W24" s="568"/>
      <c r="X24" s="568"/>
      <c r="Y24" s="568"/>
      <c r="Z24" s="822"/>
      <c r="AA24" s="822"/>
      <c r="AB24" s="822"/>
      <c r="AC24" s="822"/>
      <c r="AD24" s="822"/>
      <c r="AE24" s="822"/>
      <c r="AF24" s="822"/>
      <c r="AG24" s="823"/>
      <c r="AH24" s="823"/>
      <c r="AI24" s="823"/>
      <c r="AJ24" s="823"/>
    </row>
    <row r="25" ht="15" spans="1:36">
      <c r="A25" s="693" t="s">
        <v>931</v>
      </c>
      <c r="B25" s="694" t="s">
        <v>1815</v>
      </c>
      <c r="C25" s="695">
        <f>IF(B25="容积率修正",IF(G3&lt;10,D26,J26),C27)</f>
        <v>0</v>
      </c>
      <c r="D25" s="696"/>
      <c r="E25" s="696"/>
      <c r="F25" s="696"/>
      <c r="G25" s="696"/>
      <c r="H25" s="696"/>
      <c r="I25" s="696"/>
      <c r="J25" s="839"/>
      <c r="K25" s="822"/>
      <c r="L25" s="823"/>
      <c r="M25" s="823"/>
      <c r="N25" s="840" t="s">
        <v>1816</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25" spans="1:36">
      <c r="A26" s="697" t="s">
        <v>1817</v>
      </c>
      <c r="B26" s="698" t="s">
        <v>1818</v>
      </c>
      <c r="C26" s="699" t="s">
        <v>1819</v>
      </c>
      <c r="D26" s="700">
        <f>IF(E26=G26,F26,IF(G3&lt;10,ROUND(F26+(H26-F26)*(G3-E26)/(G26-E26),4),"——"))</f>
        <v>0</v>
      </c>
      <c r="E26" s="583">
        <f>ROUNDDOWN(G3,1)</f>
        <v>0</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0</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1820</v>
      </c>
      <c r="J26" s="843" t="str">
        <f>IF(G3&gt;=10,D115,"——")</f>
        <v>——</v>
      </c>
      <c r="K26" s="822"/>
      <c r="L26" s="823"/>
      <c r="M26" s="823"/>
      <c r="N26" s="840" t="s">
        <v>1821</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75" spans="1:36">
      <c r="A27" s="697" t="s">
        <v>1822</v>
      </c>
      <c r="B27" s="701" t="s">
        <v>1823</v>
      </c>
      <c r="C27" s="702">
        <f>ROUND(IF(I3&lt;6,SUMPRODUCT((B106:B110=I3)*(C105:N105=G2)*(C106:N110)),SUMIF(C105:N105,G2,C112:N112)),4)</f>
        <v>0</v>
      </c>
      <c r="D27" s="703"/>
      <c r="E27" s="703"/>
      <c r="F27" s="704"/>
      <c r="G27" s="705"/>
      <c r="H27" s="706"/>
      <c r="I27" s="844"/>
      <c r="J27" s="845"/>
      <c r="K27" s="568"/>
      <c r="L27" s="569"/>
      <c r="M27" s="569"/>
      <c r="N27" s="840" t="s">
        <v>1824</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75" spans="1:36">
      <c r="A28" s="687" t="s">
        <v>1825</v>
      </c>
      <c r="B28" s="681" t="s">
        <v>1826</v>
      </c>
      <c r="C28" s="682">
        <f>SUMIF(A47:A101,E2,B47:B101)</f>
        <v>0</v>
      </c>
      <c r="D28" s="707"/>
      <c r="E28" s="708"/>
      <c r="F28" s="708"/>
      <c r="G28" s="708"/>
      <c r="H28" s="708"/>
      <c r="I28" s="708"/>
      <c r="J28" s="846"/>
      <c r="K28" s="822"/>
      <c r="L28" s="823"/>
      <c r="M28" s="823"/>
      <c r="N28" s="847" t="s">
        <v>1827</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75" spans="1:36">
      <c r="A29" s="687" t="s">
        <v>1828</v>
      </c>
      <c r="B29" s="709" t="s">
        <v>1829</v>
      </c>
      <c r="C29" s="710"/>
      <c r="D29" s="606"/>
      <c r="E29" s="606"/>
      <c r="F29" s="711"/>
      <c r="G29" s="606"/>
      <c r="H29" s="606"/>
      <c r="I29" s="606"/>
      <c r="J29" s="800"/>
      <c r="K29" s="568"/>
      <c r="L29" s="569"/>
      <c r="M29" s="569"/>
      <c r="N29" s="850" t="s">
        <v>1830</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5" spans="1:36">
      <c r="A30" s="712"/>
      <c r="B30" s="698" t="s">
        <v>1831</v>
      </c>
      <c r="C30" s="713" t="e">
        <f>IF(B25="容积率修正",E33+SUM(E37:E42),SUM(V2:V16)+SUM(E37:E42))</f>
        <v>#DIV/0!</v>
      </c>
      <c r="D30" s="714"/>
      <c r="E30" s="703"/>
      <c r="F30" s="715"/>
      <c r="G30" s="703"/>
      <c r="H30" s="703"/>
      <c r="I30" s="703"/>
      <c r="J30" s="853"/>
      <c r="K30" s="568"/>
      <c r="L30" s="854" t="s">
        <v>1722</v>
      </c>
      <c r="M30" s="855" t="s">
        <v>1832</v>
      </c>
      <c r="N30" s="855" t="s">
        <v>1833</v>
      </c>
      <c r="O30" s="855" t="s">
        <v>1834</v>
      </c>
      <c r="P30" s="855" t="s">
        <v>1835</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75" spans="1:36">
      <c r="A31" s="712"/>
      <c r="B31" s="716" t="s">
        <v>1836</v>
      </c>
      <c r="C31" s="717" t="e">
        <f>E34+SUM(I37:I42)</f>
        <v>#DIV/0!</v>
      </c>
      <c r="D31" s="718"/>
      <c r="E31" s="719"/>
      <c r="F31" s="720"/>
      <c r="G31" s="719"/>
      <c r="H31" s="719"/>
      <c r="I31" s="719"/>
      <c r="J31" s="856"/>
      <c r="K31" s="568"/>
      <c r="L31" s="857" t="s">
        <v>1837</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75" spans="1:36">
      <c r="A32" s="721"/>
      <c r="B32" s="722" t="s">
        <v>1838</v>
      </c>
      <c r="C32" s="723" t="s">
        <v>1839</v>
      </c>
      <c r="D32" s="723" t="s">
        <v>560</v>
      </c>
      <c r="E32" s="724" t="s">
        <v>1840</v>
      </c>
      <c r="F32" s="725"/>
      <c r="G32" s="629"/>
      <c r="H32" s="629"/>
      <c r="I32" s="629"/>
      <c r="J32" s="806"/>
      <c r="K32" s="568"/>
      <c r="L32" s="858" t="s">
        <v>1809</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4.25" spans="1:36">
      <c r="A33" s="726"/>
      <c r="B33" s="727" t="s">
        <v>1841</v>
      </c>
      <c r="C33" s="728" t="e">
        <f>ROUND(C5*C22*C23*C24*C25*C28,0)</f>
        <v>#DIV/0!</v>
      </c>
      <c r="D33" s="729"/>
      <c r="E33" s="730" t="e">
        <f>ROUND(C33*D33/10000,0)</f>
        <v>#DIV/0!</v>
      </c>
      <c r="F33" s="731" t="s">
        <v>1842</v>
      </c>
      <c r="G33" s="732"/>
      <c r="H33" s="732"/>
      <c r="I33" s="732"/>
      <c r="J33" s="860"/>
      <c r="K33" s="568"/>
      <c r="L33" s="861" t="s">
        <v>1843</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5" spans="1:36">
      <c r="A34" s="733"/>
      <c r="B34" s="734" t="s">
        <v>1844</v>
      </c>
      <c r="C34" s="671" t="e">
        <f>ROUND(IF(E2="工业",C33*M42,IF(B25="楼层修正",SUM(V2:V16)*M41*10000/D34,C33*M41)),0)</f>
        <v>#DIV/0!</v>
      </c>
      <c r="D34" s="735"/>
      <c r="E34" s="730" t="e">
        <f>ROUND(IF(B25="楼层修正",SUM(V2:V16)*M40,C34*D34/10000),0)</f>
        <v>#DIV/0!</v>
      </c>
      <c r="F34" s="736" t="s">
        <v>1845</v>
      </c>
      <c r="G34" s="737"/>
      <c r="H34" s="737"/>
      <c r="I34" s="737"/>
      <c r="J34" s="863"/>
      <c r="K34" s="568"/>
      <c r="L34" s="861" t="s">
        <v>1846</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1847</v>
      </c>
      <c r="C35" s="740" t="s">
        <v>1848</v>
      </c>
      <c r="D35" s="629"/>
      <c r="E35" s="741"/>
      <c r="F35" s="741"/>
      <c r="G35" s="627" t="s">
        <v>1845</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24.75" spans="1:36">
      <c r="A36" s="726"/>
      <c r="B36" s="742"/>
      <c r="C36" s="743" t="s">
        <v>1839</v>
      </c>
      <c r="D36" s="744" t="s">
        <v>560</v>
      </c>
      <c r="E36" s="744" t="s">
        <v>1840</v>
      </c>
      <c r="F36" s="575" t="s">
        <v>1849</v>
      </c>
      <c r="G36" s="745" t="s">
        <v>1839</v>
      </c>
      <c r="H36" s="745" t="s">
        <v>560</v>
      </c>
      <c r="I36" s="745" t="s">
        <v>1840</v>
      </c>
      <c r="J36" s="445"/>
      <c r="K36" s="865" t="s">
        <v>1850</v>
      </c>
      <c r="L36" s="866">
        <f>'数据-取费表'!B40</f>
        <v>0.0475</v>
      </c>
      <c r="M36" s="867">
        <f>ROUND($L$36*(1+M31),3)</f>
        <v>0.059</v>
      </c>
      <c r="N36" s="867">
        <f>ROUND($L$36*(1+N31),3)</f>
        <v>0.057</v>
      </c>
      <c r="O36" s="867">
        <f>ROUND($L$36*(1+O31),3)</f>
        <v>0.055</v>
      </c>
      <c r="P36" s="867">
        <f>ROUND($L$36*(1+P31),3)</f>
        <v>0.052</v>
      </c>
      <c r="Q36" s="867">
        <f>ROUND($L$36*(1+Q31),3)</f>
        <v>0.055</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1851</v>
      </c>
      <c r="C37" s="728" t="e">
        <f>ROUND(D5*C22*C23*C24*C28*F37,0)</f>
        <v>#DIV/0!</v>
      </c>
      <c r="D37" s="729"/>
      <c r="E37" s="614" t="e">
        <f>ROUND(C37*D37/10000,0)</f>
        <v>#DIV/0!</v>
      </c>
      <c r="F37" s="614">
        <f>SUMIF(修正!A57:A68,G2,修正!B57:B68)</f>
        <v>0</v>
      </c>
      <c r="G37" s="614" t="e">
        <f>ROUND(IF(E2="工业",C37*$M$42,C37*$M$41),0)</f>
        <v>#DIV/0!</v>
      </c>
      <c r="H37" s="614">
        <f>D37</f>
        <v>0</v>
      </c>
      <c r="I37" s="614" t="e">
        <f>ROUND(G37*H37/10000,0)</f>
        <v>#DIV/0!</v>
      </c>
      <c r="J37" s="868"/>
      <c r="K37" s="869" t="s">
        <v>1852</v>
      </c>
      <c r="L37" s="865">
        <f>L36+K38</f>
        <v>0.0525</v>
      </c>
      <c r="M37" s="867">
        <f>ROUND($L$37*(1+M31),3)</f>
        <v>0.066</v>
      </c>
      <c r="N37" s="867">
        <f t="shared" ref="N37:Q37" si="3">ROUND($L$37*(1+N31),3)</f>
        <v>0.063</v>
      </c>
      <c r="O37" s="867">
        <f t="shared" si="3"/>
        <v>0.06</v>
      </c>
      <c r="P37" s="867">
        <f t="shared" si="3"/>
        <v>0.058</v>
      </c>
      <c r="Q37" s="867">
        <f t="shared" si="3"/>
        <v>0.06</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1853</v>
      </c>
      <c r="C38" s="728" t="e">
        <f>ROUND(D5*C22*C23*C24*C28*F38,0)</f>
        <v>#DIV/0!</v>
      </c>
      <c r="D38" s="729"/>
      <c r="E38" s="614" t="e">
        <f t="shared" ref="E38:E42" si="4">ROUND(C38*D38/10000,0)</f>
        <v>#DIV/0!</v>
      </c>
      <c r="F38" s="614">
        <f>SUMIF(修正!A57:A68,G2,修正!C57:C68)</f>
        <v>0</v>
      </c>
      <c r="G38" s="614" t="e">
        <f>ROUND(IF(E2="工业",C38*$M$42,C38*$M$41),0)</f>
        <v>#DIV/0!</v>
      </c>
      <c r="H38" s="614">
        <f t="shared" ref="H38:H42" si="5">D38</f>
        <v>0</v>
      </c>
      <c r="I38" s="614" t="e">
        <f t="shared" ref="I38:I42" si="6">ROUND(G38*H38/10000,0)</f>
        <v>#DIV/0!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5" spans="1:30">
      <c r="A39" s="748"/>
      <c r="B39" s="632" t="s">
        <v>1854</v>
      </c>
      <c r="C39" s="728" t="e">
        <f>ROUND(D5*C22*C23*C24*C28*F39,0)</f>
        <v>#DIV/0!</v>
      </c>
      <c r="D39" s="729"/>
      <c r="E39" s="614" t="e">
        <f t="shared" si="4"/>
        <v>#DIV/0!</v>
      </c>
      <c r="F39" s="614">
        <f>SUMIF(修正!A57:A68,G2,修正!D57:D68)</f>
        <v>0</v>
      </c>
      <c r="G39" s="614" t="e">
        <f>ROUND(IF(E2="工业",C39*$M$42,C39*$M$41),0)</f>
        <v>#DIV/0!</v>
      </c>
      <c r="H39" s="614">
        <f t="shared" si="5"/>
        <v>0</v>
      </c>
      <c r="I39" s="614" t="e">
        <f t="shared" si="6"/>
        <v>#DIV/0!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1855</v>
      </c>
      <c r="C40" s="614" t="e">
        <f>ROUND(D5*C22*C23*C24*C28*F40,0)</f>
        <v>#DIV/0!</v>
      </c>
      <c r="D40" s="729"/>
      <c r="E40" s="614" t="e">
        <f t="shared" si="4"/>
        <v>#DIV/0!</v>
      </c>
      <c r="F40" s="728">
        <f>SUMIF(修正!A57:A68,G2,修正!E57:E68)</f>
        <v>0</v>
      </c>
      <c r="G40" s="614" t="e">
        <f>ROUND(IF(E2="工业",C40*$M$42,C40*$M$41),0)</f>
        <v>#DIV/0!</v>
      </c>
      <c r="H40" s="614">
        <f t="shared" si="5"/>
        <v>0</v>
      </c>
      <c r="I40" s="614" t="e">
        <f t="shared" si="6"/>
        <v>#DIV/0!</v>
      </c>
      <c r="J40" s="870"/>
      <c r="L40" s="871" t="s">
        <v>1856</v>
      </c>
      <c r="M40" s="872"/>
      <c r="Z40" s="752"/>
      <c r="AA40" s="752"/>
      <c r="AB40" s="752"/>
      <c r="AC40" s="752"/>
      <c r="AD40" s="752"/>
      <c r="AE40" s="752"/>
      <c r="AF40" s="752"/>
      <c r="AG40" s="752"/>
      <c r="AH40" s="752"/>
      <c r="AI40" s="752"/>
      <c r="AJ40" s="752"/>
    </row>
    <row r="41" s="568" customFormat="1" spans="1:36">
      <c r="A41" s="749"/>
      <c r="B41" s="632" t="s">
        <v>1857</v>
      </c>
      <c r="C41" s="614" t="e">
        <f>ROUND(D5*C22*C23*C44*C28*F41,0)</f>
        <v>#DIV/0!</v>
      </c>
      <c r="D41" s="729"/>
      <c r="E41" s="614" t="e">
        <f t="shared" si="4"/>
        <v>#DIV/0!</v>
      </c>
      <c r="F41" s="728">
        <f>SUMIF(修正!A57:A68,G2,修正!F57:F68)</f>
        <v>0</v>
      </c>
      <c r="G41" s="614" t="e">
        <f>ROUND(IF(E2="工业",C41*$M$42,C41*$M$41),0)</f>
        <v>#DIV/0!</v>
      </c>
      <c r="H41" s="614">
        <f t="shared" si="5"/>
        <v>0</v>
      </c>
      <c r="I41" s="614" t="e">
        <f t="shared" si="6"/>
        <v>#DIV/0!</v>
      </c>
      <c r="J41" s="870"/>
      <c r="L41" s="873" t="s">
        <v>1858</v>
      </c>
      <c r="M41" s="874">
        <v>0.25</v>
      </c>
      <c r="Z41" s="752"/>
      <c r="AA41" s="752"/>
      <c r="AB41" s="752"/>
      <c r="AC41" s="752"/>
      <c r="AD41" s="752"/>
      <c r="AE41" s="752"/>
      <c r="AF41" s="752"/>
      <c r="AG41" s="752"/>
      <c r="AH41" s="752"/>
      <c r="AI41" s="752"/>
      <c r="AJ41" s="752"/>
    </row>
    <row r="42" s="568" customFormat="1" ht="13.5" spans="1:36">
      <c r="A42" s="733"/>
      <c r="B42" s="750" t="s">
        <v>1859</v>
      </c>
      <c r="C42" s="671" t="e">
        <f>ROUND(D5*C22*C23*C44*C28*F42,0)</f>
        <v>#DIV/0!</v>
      </c>
      <c r="D42" s="735"/>
      <c r="E42" s="671" t="e">
        <f t="shared" si="4"/>
        <v>#DIV/0!</v>
      </c>
      <c r="F42" s="751">
        <f>SUMIF(修正!A57:A68,G2,修正!G57:G68)</f>
        <v>0</v>
      </c>
      <c r="G42" s="671" t="e">
        <f>ROUND(IF(E2="工业",C42*$M$42,C42*$M$41),0)</f>
        <v>#DIV/0!</v>
      </c>
      <c r="H42" s="671">
        <f t="shared" si="5"/>
        <v>0</v>
      </c>
      <c r="I42" s="671" t="e">
        <f t="shared" si="6"/>
        <v>#DIV/0!</v>
      </c>
      <c r="J42" s="875"/>
      <c r="L42" s="876" t="s">
        <v>1835</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spans="1:36">
      <c r="A44" s="752"/>
      <c r="B44" s="753" t="s">
        <v>1860</v>
      </c>
      <c r="C44" s="575" t="e">
        <f>ROUND(POWER(1+E44,H44-G44)*(POWER(1+E44,G44)-1)/(POWER(1+E44,H44)-1),4)</f>
        <v>#DIV/0!</v>
      </c>
      <c r="D44" s="614" t="s">
        <v>1809</v>
      </c>
      <c r="E44" s="754">
        <f>G24</f>
        <v>0</v>
      </c>
      <c r="F44" s="614" t="s">
        <v>1810</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 spans="1:37">
      <c r="A47" s="757" t="s">
        <v>1861</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5" spans="1:37">
      <c r="A48" s="761" t="s">
        <v>1862</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4.75" spans="1:37">
      <c r="A49" s="767" t="s">
        <v>1863</v>
      </c>
      <c r="B49" s="768" t="s">
        <v>1864</v>
      </c>
      <c r="C49" s="768" t="s">
        <v>1865</v>
      </c>
      <c r="D49" s="768" t="s">
        <v>1866</v>
      </c>
      <c r="E49" s="769" t="s">
        <v>1867</v>
      </c>
      <c r="F49" s="770" t="s">
        <v>1868</v>
      </c>
      <c r="G49" s="768" t="s">
        <v>1689</v>
      </c>
      <c r="H49" s="771" t="s">
        <v>1869</v>
      </c>
      <c r="I49" s="768" t="s">
        <v>1870</v>
      </c>
      <c r="J49" s="879" t="s">
        <v>1410</v>
      </c>
      <c r="K49" s="879" t="s">
        <v>1411</v>
      </c>
      <c r="L49" s="879" t="s">
        <v>1412</v>
      </c>
      <c r="M49" s="879" t="s">
        <v>1413</v>
      </c>
      <c r="N49" s="879" t="s">
        <v>1414</v>
      </c>
      <c r="AA49" s="752"/>
      <c r="AB49" s="752"/>
      <c r="AC49" s="752"/>
      <c r="AD49" s="752"/>
      <c r="AE49" s="752"/>
      <c r="AF49" s="752"/>
      <c r="AG49" s="752"/>
      <c r="AH49" s="752"/>
      <c r="AI49" s="752"/>
      <c r="AJ49" s="752"/>
      <c r="AK49" s="752"/>
    </row>
    <row r="50" s="568" customFormat="1" ht="36.75" spans="1:37">
      <c r="A50" s="767" t="s">
        <v>1871</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36" spans="1:37">
      <c r="A51" s="767" t="s">
        <v>1872</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36" spans="1:37">
      <c r="A52" s="780" t="s">
        <v>1873</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6.75" spans="1:37">
      <c r="A53" s="767" t="s">
        <v>1874</v>
      </c>
      <c r="B53" s="781" t="s">
        <v>1875</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1876</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24" spans="1:37">
      <c r="A55" s="767" t="s">
        <v>1877</v>
      </c>
      <c r="B55" s="782" t="s">
        <v>1878</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1879</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1880</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24.75" spans="1:37">
      <c r="A58" s="785" t="s">
        <v>1881</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5" spans="1:37">
      <c r="A59" s="761" t="s">
        <v>1882</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4.75" spans="1:37">
      <c r="A60" s="767" t="s">
        <v>1863</v>
      </c>
      <c r="B60" s="768"/>
      <c r="C60" s="768" t="s">
        <v>1865</v>
      </c>
      <c r="D60" s="768" t="s">
        <v>1866</v>
      </c>
      <c r="E60" s="769" t="s">
        <v>1867</v>
      </c>
      <c r="F60" s="770" t="s">
        <v>1883</v>
      </c>
      <c r="G60" s="768" t="s">
        <v>1689</v>
      </c>
      <c r="H60" s="771" t="s">
        <v>1869</v>
      </c>
      <c r="I60" s="768" t="s">
        <v>1870</v>
      </c>
      <c r="J60" s="879" t="s">
        <v>1410</v>
      </c>
      <c r="K60" s="879" t="s">
        <v>1411</v>
      </c>
      <c r="L60" s="879" t="s">
        <v>1412</v>
      </c>
      <c r="M60" s="879" t="s">
        <v>1413</v>
      </c>
      <c r="N60" s="879" t="s">
        <v>1414</v>
      </c>
      <c r="AA60" s="752"/>
      <c r="AB60" s="752"/>
      <c r="AC60" s="752"/>
      <c r="AD60" s="752"/>
      <c r="AE60" s="752"/>
      <c r="AF60" s="752"/>
      <c r="AG60" s="752"/>
      <c r="AH60" s="752"/>
      <c r="AI60" s="752"/>
      <c r="AJ60" s="752"/>
      <c r="AK60" s="752"/>
    </row>
    <row r="61" s="568" customFormat="1" ht="36.75" spans="1:37">
      <c r="A61" s="767" t="s">
        <v>1884</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36" spans="1:37">
      <c r="A62" s="767" t="s">
        <v>1872</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36" spans="1:37">
      <c r="A63" s="780" t="s">
        <v>1873</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6.75" spans="1:37">
      <c r="A64" s="767" t="s">
        <v>1874</v>
      </c>
      <c r="B64" s="781" t="s">
        <v>1875</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1876</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24" spans="1:37">
      <c r="A66" s="767" t="s">
        <v>1877</v>
      </c>
      <c r="B66" s="782" t="s">
        <v>1878</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1879</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1880</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24.75" spans="1:37">
      <c r="A69" s="785" t="s">
        <v>1881</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5" spans="1:37">
      <c r="A70" s="761" t="s">
        <v>1885</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4.75" spans="1:37">
      <c r="A71" s="767" t="s">
        <v>1863</v>
      </c>
      <c r="B71" s="768"/>
      <c r="C71" s="768" t="s">
        <v>1865</v>
      </c>
      <c r="D71" s="768" t="s">
        <v>1866</v>
      </c>
      <c r="E71" s="769" t="s">
        <v>1867</v>
      </c>
      <c r="F71" s="770" t="s">
        <v>1883</v>
      </c>
      <c r="G71" s="768" t="s">
        <v>1689</v>
      </c>
      <c r="H71" s="771" t="s">
        <v>1869</v>
      </c>
      <c r="I71" s="768" t="s">
        <v>1870</v>
      </c>
      <c r="J71" s="879" t="s">
        <v>1410</v>
      </c>
      <c r="K71" s="879" t="s">
        <v>1411</v>
      </c>
      <c r="L71" s="879" t="s">
        <v>1412</v>
      </c>
      <c r="M71" s="879" t="s">
        <v>1413</v>
      </c>
      <c r="N71" s="879" t="s">
        <v>1414</v>
      </c>
      <c r="AA71" s="752"/>
      <c r="AB71" s="752"/>
      <c r="AC71" s="752"/>
      <c r="AD71" s="752"/>
      <c r="AE71" s="752"/>
      <c r="AF71" s="752"/>
      <c r="AG71" s="752"/>
      <c r="AH71" s="752"/>
      <c r="AI71" s="752"/>
      <c r="AJ71" s="752"/>
      <c r="AK71" s="752"/>
    </row>
    <row r="72" s="568" customFormat="1" ht="48" spans="1:37">
      <c r="A72" s="767" t="s">
        <v>1886</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36" spans="1:37">
      <c r="A73" s="767" t="s">
        <v>1872</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36" spans="1:37">
      <c r="A74" s="780" t="s">
        <v>1873</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4.25" spans="1:37">
      <c r="A75" s="767" t="s">
        <v>1887</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1879</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1880</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24" spans="1:37">
      <c r="A78" s="767" t="s">
        <v>1877</v>
      </c>
      <c r="B78" s="782" t="s">
        <v>1878</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24" spans="1:37">
      <c r="A79" s="767" t="s">
        <v>1881</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24.75" spans="1:37">
      <c r="A80" s="785" t="s">
        <v>1888</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5" spans="1:37">
      <c r="A81" s="761" t="s">
        <v>1889</v>
      </c>
      <c r="B81" s="762">
        <f>1+E83</f>
        <v>1</v>
      </c>
      <c r="C81" s="764"/>
      <c r="D81" s="764"/>
      <c r="E81" s="765"/>
      <c r="F81" s="766"/>
      <c r="G81" s="760"/>
      <c r="H81" s="760"/>
      <c r="I81" s="760"/>
      <c r="J81" s="759"/>
      <c r="K81" s="759"/>
      <c r="L81" s="759"/>
      <c r="M81" s="759"/>
      <c r="N81" s="759"/>
      <c r="Z81" s="572"/>
      <c r="AA81" s="570"/>
      <c r="AG81" s="574"/>
      <c r="AK81" s="570"/>
    </row>
    <row r="82" ht="24.75" spans="1:37">
      <c r="A82" s="767" t="s">
        <v>1863</v>
      </c>
      <c r="B82" s="768"/>
      <c r="C82" s="768" t="s">
        <v>1865</v>
      </c>
      <c r="D82" s="768" t="s">
        <v>1866</v>
      </c>
      <c r="E82" s="769" t="s">
        <v>1867</v>
      </c>
      <c r="F82" s="770" t="s">
        <v>1883</v>
      </c>
      <c r="G82" s="768" t="s">
        <v>1689</v>
      </c>
      <c r="H82" s="771" t="s">
        <v>1869</v>
      </c>
      <c r="I82" s="768" t="s">
        <v>1870</v>
      </c>
      <c r="J82" s="879" t="s">
        <v>1410</v>
      </c>
      <c r="K82" s="879" t="s">
        <v>1411</v>
      </c>
      <c r="L82" s="879" t="s">
        <v>1412</v>
      </c>
      <c r="M82" s="879" t="s">
        <v>1413</v>
      </c>
      <c r="N82" s="879" t="s">
        <v>1414</v>
      </c>
      <c r="Z82" s="572"/>
      <c r="AA82" s="570"/>
      <c r="AG82" s="574"/>
      <c r="AK82" s="570"/>
    </row>
    <row r="83" ht="38.25" spans="1:37">
      <c r="A83" s="767" t="s">
        <v>1890</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36" spans="1:37">
      <c r="A84" s="767" t="s">
        <v>1872</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36" spans="1:37">
      <c r="A85" s="780" t="s">
        <v>1873</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4.25" spans="1:37">
      <c r="A86" s="767" t="s">
        <v>1887</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1879</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1880</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24" spans="1:14">
      <c r="A89" s="767" t="s">
        <v>1877</v>
      </c>
      <c r="B89" s="782" t="s">
        <v>1891</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1892</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5" spans="1:14">
      <c r="A91" s="919" t="s">
        <v>280</v>
      </c>
      <c r="B91" s="920">
        <f>1+E93</f>
        <v>1</v>
      </c>
      <c r="C91" s="921"/>
      <c r="D91" s="922"/>
      <c r="E91" s="775"/>
      <c r="F91" s="775"/>
      <c r="G91" s="923"/>
      <c r="H91" s="924"/>
      <c r="I91" s="962"/>
      <c r="J91" s="963"/>
      <c r="K91" s="963"/>
      <c r="L91" s="963"/>
      <c r="M91" s="963"/>
      <c r="N91" s="963"/>
    </row>
    <row r="92" ht="24.75" spans="1:14">
      <c r="A92" s="925" t="s">
        <v>1863</v>
      </c>
      <c r="B92" s="926"/>
      <c r="C92" s="926" t="s">
        <v>1865</v>
      </c>
      <c r="D92" s="926" t="s">
        <v>1866</v>
      </c>
      <c r="E92" s="895" t="s">
        <v>1867</v>
      </c>
      <c r="F92" s="927" t="s">
        <v>1883</v>
      </c>
      <c r="G92" s="926" t="s">
        <v>1689</v>
      </c>
      <c r="H92" s="928" t="s">
        <v>1869</v>
      </c>
      <c r="I92" s="926" t="s">
        <v>1870</v>
      </c>
      <c r="J92" s="964" t="s">
        <v>1410</v>
      </c>
      <c r="K92" s="964" t="s">
        <v>1411</v>
      </c>
      <c r="L92" s="964" t="s">
        <v>1412</v>
      </c>
      <c r="M92" s="964" t="s">
        <v>1413</v>
      </c>
      <c r="N92" s="964" t="s">
        <v>1414</v>
      </c>
    </row>
    <row r="93" ht="24" spans="1:14">
      <c r="A93" s="780" t="s">
        <v>1893</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36" spans="1:14">
      <c r="A94" s="925" t="s">
        <v>1872</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36" spans="1:14">
      <c r="A95" s="780" t="s">
        <v>1873</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6.75" spans="1:14">
      <c r="A96" s="925" t="s">
        <v>1874</v>
      </c>
      <c r="B96" s="934" t="s">
        <v>1875</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1876</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24" spans="1:14">
      <c r="A98" s="925" t="s">
        <v>1877</v>
      </c>
      <c r="B98" s="935" t="s">
        <v>1878</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1879</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1880</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24.75" spans="1:14">
      <c r="A101" s="936" t="s">
        <v>1881</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1894</v>
      </c>
      <c r="B103" s="939"/>
      <c r="C103" s="939"/>
      <c r="D103" s="939"/>
      <c r="E103" s="939"/>
      <c r="F103" s="939"/>
      <c r="G103" s="939"/>
      <c r="H103" s="939"/>
      <c r="I103" s="939"/>
      <c r="J103" s="939"/>
      <c r="K103" s="939"/>
      <c r="L103" s="939"/>
      <c r="M103" s="939"/>
      <c r="N103" s="939"/>
    </row>
    <row r="104" spans="1:14">
      <c r="A104" s="940" t="s">
        <v>1895</v>
      </c>
      <c r="B104" s="940" t="s">
        <v>1896</v>
      </c>
      <c r="C104" s="941" t="s">
        <v>1897</v>
      </c>
      <c r="D104" s="942"/>
      <c r="E104" s="942"/>
      <c r="F104" s="942"/>
      <c r="G104" s="942"/>
      <c r="H104" s="942"/>
      <c r="I104" s="942"/>
      <c r="J104" s="965"/>
      <c r="K104" s="966"/>
      <c r="L104" s="966"/>
      <c r="M104" s="966"/>
      <c r="N104" s="966"/>
    </row>
    <row r="105" spans="1:14">
      <c r="A105" s="940"/>
      <c r="B105" s="940"/>
      <c r="C105" s="940" t="s">
        <v>1746</v>
      </c>
      <c r="D105" s="940" t="s">
        <v>1747</v>
      </c>
      <c r="E105" s="940" t="s">
        <v>1748</v>
      </c>
      <c r="F105" s="940" t="s">
        <v>1749</v>
      </c>
      <c r="G105" s="940" t="s">
        <v>1750</v>
      </c>
      <c r="H105" s="940" t="s">
        <v>1751</v>
      </c>
      <c r="I105" s="940" t="s">
        <v>1752</v>
      </c>
      <c r="J105" s="940" t="s">
        <v>1753</v>
      </c>
      <c r="K105" s="940" t="s">
        <v>1754</v>
      </c>
      <c r="L105" s="940" t="s">
        <v>1755</v>
      </c>
      <c r="M105" s="940" t="s">
        <v>1756</v>
      </c>
      <c r="N105" s="940" t="s">
        <v>1757</v>
      </c>
    </row>
    <row r="106" spans="1:14">
      <c r="A106" s="943" t="s">
        <v>1898</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1762</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1899</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5" spans="1:14">
      <c r="A115" s="948"/>
      <c r="B115" s="948"/>
      <c r="C115" s="948"/>
      <c r="D115" s="948"/>
      <c r="E115" s="948"/>
      <c r="F115" s="948"/>
      <c r="G115" s="948"/>
      <c r="H115" s="948"/>
      <c r="I115" s="948"/>
      <c r="J115" s="948"/>
      <c r="K115" s="865"/>
      <c r="L115" s="948"/>
      <c r="M115" s="948"/>
      <c r="N115" s="948"/>
    </row>
    <row r="116" ht="25.5" spans="1:14">
      <c r="A116" s="949" t="s">
        <v>1900</v>
      </c>
      <c r="B116" s="950">
        <f>G3</f>
        <v>0</v>
      </c>
      <c r="C116" s="951" t="s">
        <v>1901</v>
      </c>
      <c r="D116" s="952">
        <f>SUMPRODUCT((A118:A122=F116)*(B117:M117=H116)*B118:M122)</f>
        <v>0</v>
      </c>
      <c r="E116" s="578" t="s">
        <v>1722</v>
      </c>
      <c r="F116" s="953">
        <f>E2</f>
        <v>0</v>
      </c>
      <c r="G116" s="578" t="s">
        <v>1723</v>
      </c>
      <c r="H116" s="953">
        <f>G2</f>
        <v>0</v>
      </c>
      <c r="I116" s="578"/>
      <c r="J116" s="967"/>
      <c r="K116" s="967"/>
      <c r="L116" s="967"/>
      <c r="M116" s="967"/>
      <c r="N116" s="948"/>
    </row>
    <row r="117" spans="1:14">
      <c r="A117" s="954"/>
      <c r="B117" s="955" t="s">
        <v>1902</v>
      </c>
      <c r="C117" s="955" t="s">
        <v>1903</v>
      </c>
      <c r="D117" s="955" t="s">
        <v>1904</v>
      </c>
      <c r="E117" s="956" t="s">
        <v>1905</v>
      </c>
      <c r="F117" s="956" t="s">
        <v>1906</v>
      </c>
      <c r="G117" s="956" t="s">
        <v>1907</v>
      </c>
      <c r="H117" s="957" t="s">
        <v>1908</v>
      </c>
      <c r="I117" s="957" t="s">
        <v>1909</v>
      </c>
      <c r="J117" s="968" t="s">
        <v>1910</v>
      </c>
      <c r="K117" s="968" t="s">
        <v>1911</v>
      </c>
      <c r="L117" s="968" t="s">
        <v>1912</v>
      </c>
      <c r="M117" s="969" t="s">
        <v>1913</v>
      </c>
      <c r="N117" s="948"/>
    </row>
    <row r="118" spans="1:14">
      <c r="A118" s="958" t="s">
        <v>1832</v>
      </c>
      <c r="B118" s="928">
        <f>ROUND(0.9968-0.011*B116,4)</f>
        <v>0.9968</v>
      </c>
      <c r="C118" s="928">
        <f>B118</f>
        <v>0.9968</v>
      </c>
      <c r="D118" s="928">
        <f>ROUND(0.949-0.014*B116,4)</f>
        <v>0.949</v>
      </c>
      <c r="E118" s="928">
        <f>D118</f>
        <v>0.949</v>
      </c>
      <c r="F118" s="928">
        <f>E118</f>
        <v>0.949</v>
      </c>
      <c r="G118" s="928">
        <f>F118</f>
        <v>0.949</v>
      </c>
      <c r="H118" s="928">
        <f>G118</f>
        <v>0.949</v>
      </c>
      <c r="I118" s="928">
        <f>ROUND(0.8486-0.018*B116,4)</f>
        <v>0.8486</v>
      </c>
      <c r="J118" s="928">
        <f t="shared" ref="J118:M122" si="35">I118</f>
        <v>0.8486</v>
      </c>
      <c r="K118" s="928">
        <f t="shared" si="35"/>
        <v>0.8486</v>
      </c>
      <c r="L118" s="928">
        <f t="shared" si="35"/>
        <v>0.8486</v>
      </c>
      <c r="M118" s="970">
        <f t="shared" si="35"/>
        <v>0.8486</v>
      </c>
      <c r="N118" s="948"/>
    </row>
    <row r="119" spans="1:14">
      <c r="A119" s="958" t="s">
        <v>1833</v>
      </c>
      <c r="B119" s="928">
        <f>ROUND(0.993-0.0112*B116,4)</f>
        <v>0.993</v>
      </c>
      <c r="C119" s="928">
        <f>B119</f>
        <v>0.993</v>
      </c>
      <c r="D119" s="928">
        <f>ROUND(0.9415-0.0142*B116,4)</f>
        <v>0.9415</v>
      </c>
      <c r="E119" s="928">
        <f t="shared" ref="E119:H120" si="36">D119</f>
        <v>0.9415</v>
      </c>
      <c r="F119" s="928">
        <f t="shared" si="36"/>
        <v>0.9415</v>
      </c>
      <c r="G119" s="928">
        <f t="shared" si="36"/>
        <v>0.9415</v>
      </c>
      <c r="H119" s="928">
        <f t="shared" si="36"/>
        <v>0.9415</v>
      </c>
      <c r="I119" s="928">
        <f>ROUND(0.838-0.0182*B116,4)</f>
        <v>0.838</v>
      </c>
      <c r="J119" s="928">
        <f t="shared" si="35"/>
        <v>0.838</v>
      </c>
      <c r="K119" s="928">
        <f t="shared" si="35"/>
        <v>0.838</v>
      </c>
      <c r="L119" s="928">
        <f t="shared" si="35"/>
        <v>0.838</v>
      </c>
      <c r="M119" s="970">
        <f t="shared" si="35"/>
        <v>0.838</v>
      </c>
      <c r="N119" s="948"/>
    </row>
    <row r="120" spans="1:14">
      <c r="A120" s="958" t="s">
        <v>1834</v>
      </c>
      <c r="B120" s="928">
        <f>ROUND(0.9448-0.0115*B116,4)</f>
        <v>0.9448</v>
      </c>
      <c r="C120" s="928">
        <f>B120</f>
        <v>0.9448</v>
      </c>
      <c r="D120" s="928">
        <f>ROUND(0.937-0.0145*B116,4)</f>
        <v>0.937</v>
      </c>
      <c r="E120" s="928">
        <f t="shared" si="36"/>
        <v>0.937</v>
      </c>
      <c r="F120" s="928">
        <f t="shared" si="36"/>
        <v>0.937</v>
      </c>
      <c r="G120" s="928">
        <f t="shared" si="36"/>
        <v>0.937</v>
      </c>
      <c r="H120" s="928">
        <f t="shared" si="36"/>
        <v>0.937</v>
      </c>
      <c r="I120" s="928">
        <f>ROUND(0.7965-0.0185*B116,4)</f>
        <v>0.7965</v>
      </c>
      <c r="J120" s="928">
        <f t="shared" si="35"/>
        <v>0.7965</v>
      </c>
      <c r="K120" s="928">
        <f t="shared" si="35"/>
        <v>0.7965</v>
      </c>
      <c r="L120" s="928">
        <f t="shared" si="35"/>
        <v>0.7965</v>
      </c>
      <c r="M120" s="970">
        <f t="shared" si="35"/>
        <v>0.7965</v>
      </c>
      <c r="N120" s="948"/>
    </row>
    <row r="121" ht="13.5" spans="1:14">
      <c r="A121" s="959" t="s">
        <v>1835</v>
      </c>
      <c r="B121" s="960">
        <f>ROUND(0.7836-0.012*B116,4)</f>
        <v>0.7836</v>
      </c>
      <c r="C121" s="960">
        <f>B121</f>
        <v>0.7836</v>
      </c>
      <c r="D121" s="960">
        <f>ROUND(0.753-0.015*B116,4)</f>
        <v>0.753</v>
      </c>
      <c r="E121" s="960">
        <f>D121</f>
        <v>0.753</v>
      </c>
      <c r="F121" s="960">
        <f>E121</f>
        <v>0.753</v>
      </c>
      <c r="G121" s="960">
        <f>ROUND(0.6612-0.018*B116,4)</f>
        <v>0.6612</v>
      </c>
      <c r="H121" s="960">
        <f>G121</f>
        <v>0.6612</v>
      </c>
      <c r="I121" s="960">
        <f>ROUND(0.5905-0.019*B116,4)</f>
        <v>0.5905</v>
      </c>
      <c r="J121" s="960">
        <f t="shared" si="35"/>
        <v>0.5905</v>
      </c>
      <c r="K121" s="960">
        <f t="shared" si="35"/>
        <v>0.5905</v>
      </c>
      <c r="L121" s="960">
        <f t="shared" si="35"/>
        <v>0.5905</v>
      </c>
      <c r="M121" s="971">
        <f t="shared" si="35"/>
        <v>0.5905</v>
      </c>
      <c r="N121" s="948"/>
    </row>
    <row r="122" spans="1:14">
      <c r="A122" s="961" t="s">
        <v>280</v>
      </c>
      <c r="B122" s="928">
        <f>ROUND(0.9404-0.0106*B116,4)</f>
        <v>0.9404</v>
      </c>
      <c r="C122" s="928">
        <f>B122</f>
        <v>0.9404</v>
      </c>
      <c r="D122" s="928">
        <f>ROUND(0.8955-0.0135*B116,4)</f>
        <v>0.8955</v>
      </c>
      <c r="E122" s="928">
        <f t="shared" ref="E122:H122" si="37">D122</f>
        <v>0.8955</v>
      </c>
      <c r="F122" s="928">
        <f t="shared" si="37"/>
        <v>0.8955</v>
      </c>
      <c r="G122" s="928">
        <f t="shared" si="37"/>
        <v>0.8955</v>
      </c>
      <c r="H122" s="928">
        <f t="shared" si="37"/>
        <v>0.8955</v>
      </c>
      <c r="I122" s="928">
        <f>ROUND(0.7632-0.0166*B116,4)</f>
        <v>0.7632</v>
      </c>
      <c r="J122" s="928">
        <f t="shared" si="35"/>
        <v>0.7632</v>
      </c>
      <c r="K122" s="928">
        <f t="shared" si="35"/>
        <v>0.7632</v>
      </c>
      <c r="L122" s="928">
        <f t="shared" si="35"/>
        <v>0.7632</v>
      </c>
      <c r="M122" s="970">
        <f t="shared" si="35"/>
        <v>0.7632</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H20:O20">
      <formula1>七通一平</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C50:C58 C61:C69 C72:C80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5" style="498" customWidth="1"/>
    <col min="18" max="18" width="8.25" style="498" customWidth="1"/>
    <col min="19" max="19" width="8.25" style="498"/>
    <col min="20" max="20" width="11.625"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1914</v>
      </c>
      <c r="B2" s="502">
        <v>3.5</v>
      </c>
      <c r="C2" s="502">
        <v>3.5</v>
      </c>
      <c r="D2" s="503">
        <v>2.5</v>
      </c>
      <c r="E2" s="503">
        <v>2.5</v>
      </c>
      <c r="F2" s="503">
        <v>2.5</v>
      </c>
      <c r="G2" s="503">
        <v>2.5</v>
      </c>
      <c r="H2" s="503">
        <v>2.5</v>
      </c>
      <c r="I2" s="502">
        <v>2</v>
      </c>
      <c r="J2" s="502">
        <v>2</v>
      </c>
      <c r="K2" s="502">
        <v>2</v>
      </c>
      <c r="L2" s="502">
        <v>2</v>
      </c>
      <c r="M2" s="556">
        <v>2</v>
      </c>
    </row>
    <row r="3" customHeight="1" spans="1:13">
      <c r="A3" s="504" t="s">
        <v>1915</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1916</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1917</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1918</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1919</v>
      </c>
      <c r="B18" s="518"/>
      <c r="C18" s="519"/>
      <c r="D18" s="519"/>
      <c r="E18" s="518"/>
      <c r="F18" s="519"/>
      <c r="G18" s="519"/>
    </row>
    <row r="19" customHeight="1" spans="1:7">
      <c r="A19" s="517" t="s">
        <v>1920</v>
      </c>
      <c r="B19" s="520" t="s">
        <v>1921</v>
      </c>
      <c r="C19" s="520" t="s">
        <v>1922</v>
      </c>
      <c r="D19" s="521"/>
      <c r="E19" s="517" t="s">
        <v>1923</v>
      </c>
      <c r="F19" s="522"/>
      <c r="G19" s="522"/>
    </row>
    <row r="20" customHeight="1" spans="1:7">
      <c r="A20" s="523" t="s">
        <v>1914</v>
      </c>
      <c r="B20" s="524" t="s">
        <v>1924</v>
      </c>
      <c r="C20" s="525" t="s">
        <v>1925</v>
      </c>
      <c r="D20" s="526"/>
      <c r="E20" s="527">
        <v>1</v>
      </c>
      <c r="F20" s="528" t="s">
        <v>1926</v>
      </c>
      <c r="G20" s="528"/>
    </row>
    <row r="21" customHeight="1" spans="1:7">
      <c r="A21" s="529"/>
      <c r="B21" s="530"/>
      <c r="C21" s="531" t="s">
        <v>1927</v>
      </c>
      <c r="D21" s="532"/>
      <c r="E21" s="533">
        <v>1</v>
      </c>
      <c r="F21" s="528" t="s">
        <v>1928</v>
      </c>
      <c r="G21" s="528"/>
    </row>
    <row r="22" customHeight="1" spans="1:7">
      <c r="A22" s="529"/>
      <c r="B22" s="530"/>
      <c r="C22" s="531" t="s">
        <v>1929</v>
      </c>
      <c r="D22" s="532"/>
      <c r="E22" s="533">
        <v>0.9</v>
      </c>
      <c r="F22" s="528" t="s">
        <v>1930</v>
      </c>
      <c r="G22" s="528"/>
    </row>
    <row r="23" customHeight="1" spans="1:7">
      <c r="A23" s="529"/>
      <c r="B23" s="530"/>
      <c r="C23" s="531" t="s">
        <v>1931</v>
      </c>
      <c r="D23" s="532"/>
      <c r="E23" s="533">
        <v>0.9</v>
      </c>
      <c r="F23" s="528" t="s">
        <v>1932</v>
      </c>
      <c r="G23" s="528"/>
    </row>
    <row r="24" customHeight="1" spans="1:7">
      <c r="A24" s="529"/>
      <c r="B24" s="530"/>
      <c r="C24" s="531" t="s">
        <v>1933</v>
      </c>
      <c r="D24" s="532"/>
      <c r="E24" s="533">
        <v>0.8</v>
      </c>
      <c r="F24" s="528" t="s">
        <v>1934</v>
      </c>
      <c r="G24" s="528"/>
    </row>
    <row r="25" customHeight="1" spans="1:7">
      <c r="A25" s="534"/>
      <c r="B25" s="535"/>
      <c r="C25" s="536" t="s">
        <v>1935</v>
      </c>
      <c r="D25" s="537"/>
      <c r="E25" s="538">
        <v>0.8</v>
      </c>
      <c r="F25" s="528" t="s">
        <v>1936</v>
      </c>
      <c r="G25" s="528"/>
    </row>
    <row r="26" customHeight="1" spans="1:7">
      <c r="A26" s="539" t="s">
        <v>1915</v>
      </c>
      <c r="B26" s="540" t="s">
        <v>1924</v>
      </c>
      <c r="C26" s="541" t="s">
        <v>1937</v>
      </c>
      <c r="D26" s="542"/>
      <c r="E26" s="543">
        <v>1</v>
      </c>
      <c r="F26" s="528" t="s">
        <v>1938</v>
      </c>
      <c r="G26" s="528"/>
    </row>
    <row r="27" customHeight="1" spans="1:7">
      <c r="A27" s="544" t="s">
        <v>280</v>
      </c>
      <c r="B27" s="524" t="s">
        <v>280</v>
      </c>
      <c r="C27" s="525" t="s">
        <v>1939</v>
      </c>
      <c r="D27" s="526"/>
      <c r="E27" s="527">
        <v>1</v>
      </c>
      <c r="F27" s="528" t="s">
        <v>1940</v>
      </c>
      <c r="G27" s="528"/>
    </row>
    <row r="28" customHeight="1" spans="1:7">
      <c r="A28" s="545"/>
      <c r="B28" s="530"/>
      <c r="C28" s="531" t="s">
        <v>1941</v>
      </c>
      <c r="D28" s="532"/>
      <c r="E28" s="533">
        <v>1</v>
      </c>
      <c r="F28" s="528" t="s">
        <v>1942</v>
      </c>
      <c r="G28" s="528"/>
    </row>
    <row r="29" customHeight="1" spans="1:7">
      <c r="A29" s="545"/>
      <c r="B29" s="530"/>
      <c r="C29" s="531" t="s">
        <v>1943</v>
      </c>
      <c r="D29" s="532"/>
      <c r="E29" s="533">
        <v>0.8</v>
      </c>
      <c r="F29" s="528" t="s">
        <v>1944</v>
      </c>
      <c r="G29" s="528"/>
    </row>
    <row r="30" customHeight="1" spans="1:7">
      <c r="A30" s="545"/>
      <c r="B30" s="530"/>
      <c r="C30" s="531" t="s">
        <v>1945</v>
      </c>
      <c r="D30" s="532"/>
      <c r="E30" s="533">
        <v>0.8</v>
      </c>
      <c r="F30" s="528" t="s">
        <v>1946</v>
      </c>
      <c r="G30" s="528"/>
    </row>
    <row r="31" customHeight="1" spans="1:7">
      <c r="A31" s="545"/>
      <c r="B31" s="530"/>
      <c r="C31" s="531" t="s">
        <v>1947</v>
      </c>
      <c r="D31" s="532"/>
      <c r="E31" s="533">
        <v>0.8</v>
      </c>
      <c r="F31" s="528" t="s">
        <v>1948</v>
      </c>
      <c r="G31" s="528"/>
    </row>
    <row r="32" customHeight="1" spans="1:7">
      <c r="A32" s="545"/>
      <c r="B32" s="530"/>
      <c r="C32" s="531" t="s">
        <v>1949</v>
      </c>
      <c r="D32" s="532"/>
      <c r="E32" s="533">
        <v>0.7</v>
      </c>
      <c r="F32" s="528" t="s">
        <v>1950</v>
      </c>
      <c r="G32" s="528"/>
    </row>
    <row r="33" customHeight="1" spans="1:7">
      <c r="A33" s="545"/>
      <c r="B33" s="530"/>
      <c r="C33" s="531" t="s">
        <v>1951</v>
      </c>
      <c r="D33" s="532"/>
      <c r="E33" s="533">
        <v>0.8</v>
      </c>
      <c r="F33" s="528" t="s">
        <v>1952</v>
      </c>
      <c r="G33" s="528"/>
    </row>
    <row r="34" customHeight="1" spans="1:7">
      <c r="A34" s="545"/>
      <c r="B34" s="530"/>
      <c r="C34" s="531" t="s">
        <v>1953</v>
      </c>
      <c r="D34" s="532"/>
      <c r="E34" s="533">
        <v>0.6</v>
      </c>
      <c r="F34" s="528" t="s">
        <v>1954</v>
      </c>
      <c r="G34" s="528"/>
    </row>
    <row r="35" customHeight="1" spans="1:7">
      <c r="A35" s="545"/>
      <c r="B35" s="530"/>
      <c r="C35" s="531" t="s">
        <v>1955</v>
      </c>
      <c r="D35" s="532"/>
      <c r="E35" s="533">
        <v>0.2</v>
      </c>
      <c r="F35" s="528" t="s">
        <v>1956</v>
      </c>
      <c r="G35" s="528"/>
    </row>
    <row r="36" customHeight="1" spans="1:7">
      <c r="A36" s="545"/>
      <c r="B36" s="530"/>
      <c r="C36" s="531" t="s">
        <v>1957</v>
      </c>
      <c r="D36" s="532"/>
      <c r="E36" s="533">
        <v>0.2</v>
      </c>
      <c r="F36" s="528" t="s">
        <v>1958</v>
      </c>
      <c r="G36" s="528"/>
    </row>
    <row r="37" customHeight="1" spans="1:7">
      <c r="A37" s="545"/>
      <c r="B37" s="546" t="s">
        <v>1959</v>
      </c>
      <c r="C37" s="531" t="s">
        <v>1960</v>
      </c>
      <c r="D37" s="532"/>
      <c r="E37" s="533">
        <v>0.6</v>
      </c>
      <c r="F37" s="528" t="s">
        <v>1961</v>
      </c>
      <c r="G37" s="528"/>
    </row>
    <row r="38" customHeight="1" spans="1:7">
      <c r="A38" s="545"/>
      <c r="B38" s="530"/>
      <c r="C38" s="531" t="s">
        <v>1962</v>
      </c>
      <c r="D38" s="532"/>
      <c r="E38" s="533">
        <v>0.6</v>
      </c>
      <c r="F38" s="528" t="s">
        <v>1963</v>
      </c>
      <c r="G38" s="528"/>
    </row>
    <row r="39" customHeight="1" spans="1:7">
      <c r="A39" s="547"/>
      <c r="B39" s="535"/>
      <c r="C39" s="536" t="s">
        <v>1964</v>
      </c>
      <c r="D39" s="537"/>
      <c r="E39" s="538">
        <v>0.6</v>
      </c>
      <c r="F39" s="528" t="s">
        <v>1965</v>
      </c>
      <c r="G39" s="528"/>
    </row>
    <row r="40" customHeight="1" spans="1:7">
      <c r="A40" s="539" t="s">
        <v>412</v>
      </c>
      <c r="B40" s="540" t="s">
        <v>412</v>
      </c>
      <c r="C40" s="541" t="s">
        <v>1966</v>
      </c>
      <c r="D40" s="542"/>
      <c r="E40" s="543">
        <v>1</v>
      </c>
      <c r="F40" s="528" t="s">
        <v>1967</v>
      </c>
      <c r="G40" s="528"/>
    </row>
    <row r="41" customHeight="1" spans="1:7">
      <c r="A41" s="523" t="s">
        <v>408</v>
      </c>
      <c r="B41" s="524" t="s">
        <v>1968</v>
      </c>
      <c r="C41" s="525" t="s">
        <v>1969</v>
      </c>
      <c r="D41" s="526"/>
      <c r="E41" s="527">
        <v>1</v>
      </c>
      <c r="F41" s="528" t="s">
        <v>1970</v>
      </c>
      <c r="G41" s="528"/>
    </row>
    <row r="42" customHeight="1" spans="1:7">
      <c r="A42" s="529"/>
      <c r="B42" s="530"/>
      <c r="C42" s="531" t="s">
        <v>1971</v>
      </c>
      <c r="D42" s="532"/>
      <c r="E42" s="533">
        <v>1</v>
      </c>
      <c r="F42" s="528" t="s">
        <v>1972</v>
      </c>
      <c r="G42" s="528"/>
    </row>
    <row r="43" customHeight="1" spans="1:7">
      <c r="A43" s="529"/>
      <c r="B43" s="548"/>
      <c r="C43" s="531" t="s">
        <v>1973</v>
      </c>
      <c r="D43" s="532"/>
      <c r="E43" s="533">
        <v>1.5</v>
      </c>
      <c r="F43" s="528" t="s">
        <v>1974</v>
      </c>
      <c r="G43" s="528"/>
    </row>
    <row r="44" customHeight="1" spans="1:7">
      <c r="A44" s="529"/>
      <c r="B44" s="549" t="s">
        <v>280</v>
      </c>
      <c r="C44" s="531" t="s">
        <v>1916</v>
      </c>
      <c r="D44" s="532"/>
      <c r="E44" s="533">
        <v>2</v>
      </c>
      <c r="F44" s="528" t="s">
        <v>1975</v>
      </c>
      <c r="G44" s="528"/>
    </row>
    <row r="45" customHeight="1" spans="1:7">
      <c r="A45" s="529"/>
      <c r="B45" s="546" t="s">
        <v>1976</v>
      </c>
      <c r="C45" s="531" t="s">
        <v>1977</v>
      </c>
      <c r="D45" s="532"/>
      <c r="E45" s="533">
        <v>1</v>
      </c>
      <c r="F45" s="528" t="s">
        <v>1978</v>
      </c>
      <c r="G45" s="528"/>
    </row>
    <row r="46" customHeight="1" spans="1:7">
      <c r="A46" s="529"/>
      <c r="B46" s="530"/>
      <c r="C46" s="531" t="s">
        <v>1979</v>
      </c>
      <c r="D46" s="532"/>
      <c r="E46" s="533">
        <v>1</v>
      </c>
      <c r="F46" s="528" t="s">
        <v>1980</v>
      </c>
      <c r="G46" s="528"/>
    </row>
    <row r="47" customHeight="1" spans="1:7">
      <c r="A47" s="529"/>
      <c r="B47" s="530"/>
      <c r="C47" s="531" t="s">
        <v>1981</v>
      </c>
      <c r="D47" s="532"/>
      <c r="E47" s="533">
        <v>1</v>
      </c>
      <c r="F47" s="528" t="s">
        <v>1982</v>
      </c>
      <c r="G47" s="528"/>
    </row>
    <row r="48" customHeight="1" spans="1:7">
      <c r="A48" s="529"/>
      <c r="B48" s="530"/>
      <c r="C48" s="531" t="s">
        <v>1983</v>
      </c>
      <c r="D48" s="532"/>
      <c r="E48" s="533">
        <v>1</v>
      </c>
      <c r="F48" s="528" t="s">
        <v>1984</v>
      </c>
      <c r="G48" s="528"/>
    </row>
    <row r="49" customHeight="1" spans="1:7">
      <c r="A49" s="529"/>
      <c r="B49" s="530"/>
      <c r="C49" s="531" t="s">
        <v>1985</v>
      </c>
      <c r="D49" s="532"/>
      <c r="E49" s="533">
        <v>1</v>
      </c>
      <c r="F49" s="528" t="s">
        <v>1986</v>
      </c>
      <c r="G49" s="528"/>
    </row>
    <row r="50" customHeight="1" spans="1:7">
      <c r="A50" s="529"/>
      <c r="B50" s="530"/>
      <c r="C50" s="531" t="s">
        <v>1987</v>
      </c>
      <c r="D50" s="532"/>
      <c r="E50" s="533">
        <v>1</v>
      </c>
      <c r="F50" s="528" t="s">
        <v>1988</v>
      </c>
      <c r="G50" s="528"/>
    </row>
    <row r="51" customHeight="1" spans="1:7">
      <c r="A51" s="534"/>
      <c r="B51" s="535"/>
      <c r="C51" s="536" t="s">
        <v>1989</v>
      </c>
      <c r="D51" s="537"/>
      <c r="E51" s="538">
        <v>1</v>
      </c>
      <c r="F51" s="528" t="s">
        <v>1990</v>
      </c>
      <c r="G51" s="528"/>
    </row>
    <row r="52" customHeight="1" spans="1:7">
      <c r="A52" s="550"/>
      <c r="B52" s="550"/>
      <c r="C52" s="550"/>
      <c r="D52" s="550"/>
      <c r="E52" s="550"/>
      <c r="F52" s="550"/>
      <c r="G52" s="550"/>
    </row>
    <row r="54" customHeight="1" spans="1:7">
      <c r="A54" s="551"/>
      <c r="B54" s="515" t="s">
        <v>1991</v>
      </c>
      <c r="C54" s="515" t="s">
        <v>1991</v>
      </c>
      <c r="D54" s="515" t="s">
        <v>1991</v>
      </c>
      <c r="E54" s="517" t="s">
        <v>1991</v>
      </c>
      <c r="F54" s="517" t="s">
        <v>1992</v>
      </c>
      <c r="G54" s="517" t="s">
        <v>1991</v>
      </c>
    </row>
    <row r="55" customHeight="1" spans="1:7">
      <c r="A55" s="552"/>
      <c r="B55" s="517" t="s">
        <v>1914</v>
      </c>
      <c r="C55" s="517" t="s">
        <v>1914</v>
      </c>
      <c r="D55" s="517" t="s">
        <v>1914</v>
      </c>
      <c r="E55" s="515" t="s">
        <v>1915</v>
      </c>
      <c r="F55" s="515" t="s">
        <v>408</v>
      </c>
      <c r="G55" s="515" t="s">
        <v>1622</v>
      </c>
    </row>
    <row r="56" customHeight="1" spans="1:7">
      <c r="A56" s="553"/>
      <c r="B56" s="515">
        <v>1</v>
      </c>
      <c r="C56" s="515">
        <v>2</v>
      </c>
      <c r="D56" s="515">
        <v>3</v>
      </c>
      <c r="E56" s="554" t="s">
        <v>1993</v>
      </c>
      <c r="F56" s="554" t="s">
        <v>1993</v>
      </c>
      <c r="G56" s="554" t="s">
        <v>1993</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1994</v>
      </c>
      <c r="E70" s="566"/>
      <c r="F70" s="566"/>
    </row>
    <row r="71" customHeight="1" spans="1:6">
      <c r="A71" s="549" t="s">
        <v>1450</v>
      </c>
      <c r="B71" s="549" t="s">
        <v>1995</v>
      </c>
      <c r="C71" s="549" t="s">
        <v>1996</v>
      </c>
      <c r="D71" s="549" t="s">
        <v>1997</v>
      </c>
      <c r="E71" s="549" t="s">
        <v>1998</v>
      </c>
      <c r="F71" s="549" t="s">
        <v>1999</v>
      </c>
    </row>
    <row r="72" ht="13.5" spans="1:6">
      <c r="A72" s="549"/>
      <c r="B72" s="549"/>
      <c r="C72" s="549" t="s">
        <v>2000</v>
      </c>
      <c r="D72" s="549"/>
      <c r="E72" s="549" t="s">
        <v>124</v>
      </c>
      <c r="F72" s="549" t="s">
        <v>124</v>
      </c>
    </row>
    <row r="73" ht="13.5" spans="1:6">
      <c r="A73" s="549">
        <v>1</v>
      </c>
      <c r="B73" s="546" t="s">
        <v>2001</v>
      </c>
      <c r="C73" s="515" t="s">
        <v>2002</v>
      </c>
      <c r="D73" s="515" t="s">
        <v>2003</v>
      </c>
      <c r="E73" s="549">
        <v>0.2</v>
      </c>
      <c r="F73" s="549">
        <v>25</v>
      </c>
    </row>
    <row r="74" ht="24" spans="1:6">
      <c r="A74" s="549">
        <v>2</v>
      </c>
      <c r="B74" s="530"/>
      <c r="C74" s="515" t="s">
        <v>2004</v>
      </c>
      <c r="D74" s="515" t="s">
        <v>2005</v>
      </c>
      <c r="E74" s="549">
        <v>0.2</v>
      </c>
      <c r="F74" s="549">
        <v>25</v>
      </c>
    </row>
    <row r="75" ht="24" spans="1:6">
      <c r="A75" s="549">
        <v>3</v>
      </c>
      <c r="B75" s="530"/>
      <c r="C75" s="515" t="s">
        <v>2006</v>
      </c>
      <c r="D75" s="515" t="s">
        <v>2007</v>
      </c>
      <c r="E75" s="549">
        <v>0.2</v>
      </c>
      <c r="F75" s="549">
        <v>25</v>
      </c>
    </row>
    <row r="76" ht="13.5" spans="1:6">
      <c r="A76" s="549">
        <v>4</v>
      </c>
      <c r="B76" s="530"/>
      <c r="C76" s="515" t="s">
        <v>2008</v>
      </c>
      <c r="D76" s="515" t="s">
        <v>2009</v>
      </c>
      <c r="E76" s="549">
        <v>0.15</v>
      </c>
      <c r="F76" s="549">
        <v>20</v>
      </c>
    </row>
    <row r="77" ht="24" spans="1:6">
      <c r="A77" s="549">
        <v>5</v>
      </c>
      <c r="B77" s="530"/>
      <c r="C77" s="515" t="s">
        <v>2010</v>
      </c>
      <c r="D77" s="515" t="s">
        <v>2011</v>
      </c>
      <c r="E77" s="549">
        <v>0.15</v>
      </c>
      <c r="F77" s="549">
        <v>20</v>
      </c>
    </row>
    <row r="78" ht="24" spans="1:6">
      <c r="A78" s="549">
        <v>6</v>
      </c>
      <c r="B78" s="530"/>
      <c r="C78" s="515" t="s">
        <v>2012</v>
      </c>
      <c r="D78" s="515" t="s">
        <v>2013</v>
      </c>
      <c r="E78" s="549">
        <v>0.15</v>
      </c>
      <c r="F78" s="549">
        <v>20</v>
      </c>
    </row>
    <row r="79" ht="24" spans="1:6">
      <c r="A79" s="549">
        <v>7</v>
      </c>
      <c r="B79" s="530"/>
      <c r="C79" s="515" t="s">
        <v>2014</v>
      </c>
      <c r="D79" s="515" t="s">
        <v>2015</v>
      </c>
      <c r="E79" s="549">
        <v>0.15</v>
      </c>
      <c r="F79" s="549">
        <v>20</v>
      </c>
    </row>
    <row r="80" ht="24" spans="1:6">
      <c r="A80" s="549">
        <v>8</v>
      </c>
      <c r="B80" s="530"/>
      <c r="C80" s="515" t="s">
        <v>2016</v>
      </c>
      <c r="D80" s="515" t="s">
        <v>2017</v>
      </c>
      <c r="E80" s="549">
        <v>0.1</v>
      </c>
      <c r="F80" s="549">
        <v>15</v>
      </c>
    </row>
    <row r="81" ht="24" spans="1:6">
      <c r="A81" s="549">
        <v>9</v>
      </c>
      <c r="B81" s="530"/>
      <c r="C81" s="515" t="s">
        <v>2018</v>
      </c>
      <c r="D81" s="515" t="s">
        <v>2019</v>
      </c>
      <c r="E81" s="549">
        <v>0.1</v>
      </c>
      <c r="F81" s="549">
        <v>15</v>
      </c>
    </row>
    <row r="82" ht="24" spans="1:6">
      <c r="A82" s="549">
        <v>10</v>
      </c>
      <c r="B82" s="530"/>
      <c r="C82" s="515" t="s">
        <v>2020</v>
      </c>
      <c r="D82" s="515" t="s">
        <v>2021</v>
      </c>
      <c r="E82" s="549">
        <v>0.1</v>
      </c>
      <c r="F82" s="549">
        <v>15</v>
      </c>
    </row>
    <row r="83" ht="24" spans="1:6">
      <c r="A83" s="549">
        <v>11</v>
      </c>
      <c r="B83" s="530"/>
      <c r="C83" s="515" t="s">
        <v>2022</v>
      </c>
      <c r="D83" s="515" t="s">
        <v>2023</v>
      </c>
      <c r="E83" s="549">
        <v>0.1</v>
      </c>
      <c r="F83" s="549">
        <v>15</v>
      </c>
    </row>
    <row r="84" ht="24" spans="1:6">
      <c r="A84" s="549">
        <v>12</v>
      </c>
      <c r="B84" s="530"/>
      <c r="C84" s="515" t="s">
        <v>2024</v>
      </c>
      <c r="D84" s="515" t="s">
        <v>2025</v>
      </c>
      <c r="E84" s="549">
        <v>0.1</v>
      </c>
      <c r="F84" s="549">
        <v>15</v>
      </c>
    </row>
    <row r="85" ht="13.5" spans="1:6">
      <c r="A85" s="549">
        <v>13</v>
      </c>
      <c r="B85" s="530"/>
      <c r="C85" s="515" t="s">
        <v>2026</v>
      </c>
      <c r="D85" s="515" t="s">
        <v>2027</v>
      </c>
      <c r="E85" s="549">
        <v>0.1</v>
      </c>
      <c r="F85" s="549">
        <v>15</v>
      </c>
    </row>
    <row r="86" ht="13.5" spans="1:6">
      <c r="A86" s="549">
        <v>14</v>
      </c>
      <c r="B86" s="530"/>
      <c r="C86" s="515" t="s">
        <v>2028</v>
      </c>
      <c r="D86" s="515" t="s">
        <v>2029</v>
      </c>
      <c r="E86" s="549">
        <v>0.1</v>
      </c>
      <c r="F86" s="549">
        <v>15</v>
      </c>
    </row>
    <row r="87" ht="13.5" spans="1:6">
      <c r="A87" s="549">
        <v>15</v>
      </c>
      <c r="B87" s="530"/>
      <c r="C87" s="515" t="s">
        <v>2030</v>
      </c>
      <c r="D87" s="515" t="s">
        <v>2031</v>
      </c>
      <c r="E87" s="549">
        <v>0.1</v>
      </c>
      <c r="F87" s="549">
        <v>15</v>
      </c>
    </row>
    <row r="88" ht="24" spans="1:6">
      <c r="A88" s="549">
        <v>16</v>
      </c>
      <c r="B88" s="530"/>
      <c r="C88" s="515" t="s">
        <v>2032</v>
      </c>
      <c r="D88" s="515" t="s">
        <v>2033</v>
      </c>
      <c r="E88" s="549">
        <v>0.1</v>
      </c>
      <c r="F88" s="549">
        <v>15</v>
      </c>
    </row>
    <row r="89" ht="24" spans="1:6">
      <c r="A89" s="549">
        <v>17</v>
      </c>
      <c r="B89" s="548"/>
      <c r="C89" s="515" t="s">
        <v>2034</v>
      </c>
      <c r="D89" s="515" t="s">
        <v>2035</v>
      </c>
      <c r="E89" s="549">
        <v>0.1</v>
      </c>
      <c r="F89" s="549">
        <v>15</v>
      </c>
    </row>
    <row r="90" ht="13.5" spans="1:6">
      <c r="A90" s="549">
        <v>18</v>
      </c>
      <c r="B90" s="546" t="s">
        <v>2036</v>
      </c>
      <c r="C90" s="515" t="s">
        <v>2037</v>
      </c>
      <c r="D90" s="515" t="s">
        <v>2038</v>
      </c>
      <c r="E90" s="549">
        <v>0.2</v>
      </c>
      <c r="F90" s="549">
        <v>25</v>
      </c>
    </row>
    <row r="91" ht="24" spans="1:6">
      <c r="A91" s="549">
        <v>19</v>
      </c>
      <c r="B91" s="530"/>
      <c r="C91" s="515" t="s">
        <v>2039</v>
      </c>
      <c r="D91" s="515" t="s">
        <v>2040</v>
      </c>
      <c r="E91" s="549">
        <v>0.2</v>
      </c>
      <c r="F91" s="549">
        <v>25</v>
      </c>
    </row>
    <row r="92" ht="13.5" spans="1:6">
      <c r="A92" s="549">
        <v>20</v>
      </c>
      <c r="B92" s="530"/>
      <c r="C92" s="515" t="s">
        <v>2041</v>
      </c>
      <c r="D92" s="515" t="s">
        <v>2042</v>
      </c>
      <c r="E92" s="549">
        <v>0.15</v>
      </c>
      <c r="F92" s="549">
        <v>20</v>
      </c>
    </row>
    <row r="93" ht="13.5" spans="1:6">
      <c r="A93" s="549">
        <v>21</v>
      </c>
      <c r="B93" s="530"/>
      <c r="C93" s="515" t="s">
        <v>2043</v>
      </c>
      <c r="D93" s="515" t="s">
        <v>2044</v>
      </c>
      <c r="E93" s="549">
        <v>0.15</v>
      </c>
      <c r="F93" s="549">
        <v>20</v>
      </c>
    </row>
    <row r="94" ht="13.5" spans="1:6">
      <c r="A94" s="549">
        <v>22</v>
      </c>
      <c r="B94" s="530"/>
      <c r="C94" s="515" t="s">
        <v>2045</v>
      </c>
      <c r="D94" s="515" t="s">
        <v>2046</v>
      </c>
      <c r="E94" s="549">
        <v>0.15</v>
      </c>
      <c r="F94" s="549">
        <v>20</v>
      </c>
    </row>
    <row r="95" ht="36" spans="1:6">
      <c r="A95" s="549">
        <v>23</v>
      </c>
      <c r="B95" s="530"/>
      <c r="C95" s="515" t="s">
        <v>2047</v>
      </c>
      <c r="D95" s="515" t="s">
        <v>2048</v>
      </c>
      <c r="E95" s="549">
        <v>0.15</v>
      </c>
      <c r="F95" s="549">
        <v>20</v>
      </c>
    </row>
    <row r="96" ht="13.5" spans="1:6">
      <c r="A96" s="549">
        <v>24</v>
      </c>
      <c r="B96" s="530"/>
      <c r="C96" s="515" t="s">
        <v>2049</v>
      </c>
      <c r="D96" s="515" t="s">
        <v>2050</v>
      </c>
      <c r="E96" s="549">
        <v>0.1</v>
      </c>
      <c r="F96" s="549">
        <v>15</v>
      </c>
    </row>
    <row r="97" ht="13.5" spans="1:6">
      <c r="A97" s="549">
        <v>25</v>
      </c>
      <c r="B97" s="530"/>
      <c r="C97" s="515" t="s">
        <v>2051</v>
      </c>
      <c r="D97" s="515" t="s">
        <v>2052</v>
      </c>
      <c r="E97" s="549">
        <v>0.1</v>
      </c>
      <c r="F97" s="549">
        <v>15</v>
      </c>
    </row>
    <row r="98" ht="24" spans="1:6">
      <c r="A98" s="549">
        <v>26</v>
      </c>
      <c r="B98" s="530"/>
      <c r="C98" s="515" t="s">
        <v>2053</v>
      </c>
      <c r="D98" s="515" t="s">
        <v>2054</v>
      </c>
      <c r="E98" s="549">
        <v>0.1</v>
      </c>
      <c r="F98" s="549">
        <v>15</v>
      </c>
    </row>
    <row r="99" ht="24" spans="1:6">
      <c r="A99" s="549">
        <v>27</v>
      </c>
      <c r="B99" s="530"/>
      <c r="C99" s="515" t="s">
        <v>2055</v>
      </c>
      <c r="D99" s="515" t="s">
        <v>2056</v>
      </c>
      <c r="E99" s="549">
        <v>0.1</v>
      </c>
      <c r="F99" s="549">
        <v>15</v>
      </c>
    </row>
    <row r="100" ht="13.5" spans="1:6">
      <c r="A100" s="549">
        <v>28</v>
      </c>
      <c r="B100" s="530"/>
      <c r="C100" s="515" t="s">
        <v>2057</v>
      </c>
      <c r="D100" s="515" t="s">
        <v>2058</v>
      </c>
      <c r="E100" s="549">
        <v>0.1</v>
      </c>
      <c r="F100" s="549">
        <v>15</v>
      </c>
    </row>
    <row r="101" ht="13.5" spans="1:6">
      <c r="A101" s="549">
        <v>29</v>
      </c>
      <c r="B101" s="530"/>
      <c r="C101" s="515" t="s">
        <v>2059</v>
      </c>
      <c r="D101" s="515" t="s">
        <v>2060</v>
      </c>
      <c r="E101" s="549">
        <v>0.1</v>
      </c>
      <c r="F101" s="549">
        <v>15</v>
      </c>
    </row>
    <row r="102" ht="13.5" spans="1:6">
      <c r="A102" s="549">
        <v>30</v>
      </c>
      <c r="B102" s="530"/>
      <c r="C102" s="515" t="s">
        <v>2061</v>
      </c>
      <c r="D102" s="515" t="s">
        <v>2062</v>
      </c>
      <c r="E102" s="549">
        <v>0.1</v>
      </c>
      <c r="F102" s="549">
        <v>15</v>
      </c>
    </row>
    <row r="103" ht="24" spans="1:6">
      <c r="A103" s="549">
        <v>31</v>
      </c>
      <c r="B103" s="530"/>
      <c r="C103" s="515" t="s">
        <v>2063</v>
      </c>
      <c r="D103" s="515" t="s">
        <v>2064</v>
      </c>
      <c r="E103" s="549">
        <v>0.1</v>
      </c>
      <c r="F103" s="549">
        <v>15</v>
      </c>
    </row>
    <row r="104" ht="24" spans="1:6">
      <c r="A104" s="549">
        <v>32</v>
      </c>
      <c r="B104" s="530"/>
      <c r="C104" s="515" t="s">
        <v>2065</v>
      </c>
      <c r="D104" s="515" t="s">
        <v>2066</v>
      </c>
      <c r="E104" s="549">
        <v>0.1</v>
      </c>
      <c r="F104" s="549">
        <v>15</v>
      </c>
    </row>
    <row r="105" ht="24" spans="1:6">
      <c r="A105" s="549">
        <v>33</v>
      </c>
      <c r="B105" s="530"/>
      <c r="C105" s="515" t="s">
        <v>2067</v>
      </c>
      <c r="D105" s="515" t="s">
        <v>2068</v>
      </c>
      <c r="E105" s="549">
        <v>0.1</v>
      </c>
      <c r="F105" s="549">
        <v>15</v>
      </c>
    </row>
    <row r="106" ht="24" spans="1:6">
      <c r="A106" s="549">
        <v>34</v>
      </c>
      <c r="B106" s="548"/>
      <c r="C106" s="515" t="s">
        <v>2069</v>
      </c>
      <c r="D106" s="515" t="s">
        <v>2070</v>
      </c>
      <c r="E106" s="549">
        <v>0.1</v>
      </c>
      <c r="F106" s="549">
        <v>15</v>
      </c>
    </row>
    <row r="107" ht="24" spans="1:6">
      <c r="A107" s="549">
        <v>35</v>
      </c>
      <c r="B107" s="546" t="s">
        <v>2071</v>
      </c>
      <c r="C107" s="549" t="s">
        <v>2072</v>
      </c>
      <c r="D107" s="515" t="s">
        <v>2073</v>
      </c>
      <c r="E107" s="549">
        <v>0.15</v>
      </c>
      <c r="F107" s="549">
        <v>20</v>
      </c>
    </row>
    <row r="108" ht="13.5" spans="1:6">
      <c r="A108" s="549">
        <v>36</v>
      </c>
      <c r="B108" s="530"/>
      <c r="C108" s="549" t="s">
        <v>2074</v>
      </c>
      <c r="D108" s="515" t="s">
        <v>2075</v>
      </c>
      <c r="E108" s="549">
        <v>0.15</v>
      </c>
      <c r="F108" s="549">
        <v>20</v>
      </c>
    </row>
    <row r="109" ht="13.5" spans="1:6">
      <c r="A109" s="549">
        <v>37</v>
      </c>
      <c r="B109" s="530"/>
      <c r="C109" s="549" t="s">
        <v>2076</v>
      </c>
      <c r="D109" s="515" t="s">
        <v>2077</v>
      </c>
      <c r="E109" s="549">
        <v>0.15</v>
      </c>
      <c r="F109" s="549">
        <v>20</v>
      </c>
    </row>
    <row r="110" ht="13.5" spans="1:6">
      <c r="A110" s="549">
        <v>38</v>
      </c>
      <c r="B110" s="530"/>
      <c r="C110" s="549" t="s">
        <v>2078</v>
      </c>
      <c r="D110" s="515" t="s">
        <v>2079</v>
      </c>
      <c r="E110" s="549">
        <v>0.1</v>
      </c>
      <c r="F110" s="549">
        <v>15</v>
      </c>
    </row>
    <row r="111" ht="24" spans="1:6">
      <c r="A111" s="549">
        <v>39</v>
      </c>
      <c r="B111" s="530"/>
      <c r="C111" s="549" t="s">
        <v>2080</v>
      </c>
      <c r="D111" s="515" t="s">
        <v>2081</v>
      </c>
      <c r="E111" s="549">
        <v>0.1</v>
      </c>
      <c r="F111" s="549">
        <v>15</v>
      </c>
    </row>
    <row r="112" ht="24" spans="1:6">
      <c r="A112" s="549">
        <v>40</v>
      </c>
      <c r="B112" s="548"/>
      <c r="C112" s="549" t="s">
        <v>2082</v>
      </c>
      <c r="D112" s="515" t="s">
        <v>2083</v>
      </c>
      <c r="E112" s="549">
        <v>0.1</v>
      </c>
      <c r="F112" s="549">
        <v>15</v>
      </c>
    </row>
    <row r="113" ht="13.5" spans="1:6">
      <c r="A113" s="549">
        <v>41</v>
      </c>
      <c r="B113" s="549" t="s">
        <v>2084</v>
      </c>
      <c r="C113" s="549" t="s">
        <v>2085</v>
      </c>
      <c r="D113" s="515" t="s">
        <v>2086</v>
      </c>
      <c r="E113" s="549">
        <v>0.1</v>
      </c>
      <c r="F113" s="549">
        <v>15</v>
      </c>
    </row>
    <row r="114" ht="13.5" spans="1:6">
      <c r="A114" s="549">
        <v>42</v>
      </c>
      <c r="B114" s="549"/>
      <c r="C114" s="549" t="s">
        <v>2087</v>
      </c>
      <c r="D114" s="515" t="s">
        <v>2088</v>
      </c>
      <c r="E114" s="549">
        <v>0.1</v>
      </c>
      <c r="F114" s="549">
        <v>15</v>
      </c>
    </row>
    <row r="115" ht="24" spans="1:6">
      <c r="A115" s="549">
        <v>43</v>
      </c>
      <c r="B115" s="549"/>
      <c r="C115" s="549" t="s">
        <v>2089</v>
      </c>
      <c r="D115" s="515" t="s">
        <v>2090</v>
      </c>
      <c r="E115" s="549">
        <v>0.1</v>
      </c>
      <c r="F115" s="549">
        <v>15</v>
      </c>
    </row>
    <row r="116" ht="13.5" spans="1:6">
      <c r="A116" s="549">
        <v>44</v>
      </c>
      <c r="B116" s="546" t="s">
        <v>2091</v>
      </c>
      <c r="C116" s="549" t="s">
        <v>2092</v>
      </c>
      <c r="D116" s="515" t="s">
        <v>2093</v>
      </c>
      <c r="E116" s="549">
        <v>0.1</v>
      </c>
      <c r="F116" s="549">
        <v>15</v>
      </c>
    </row>
    <row r="117" ht="24" spans="1:6">
      <c r="A117" s="549">
        <v>45</v>
      </c>
      <c r="B117" s="548"/>
      <c r="C117" s="515" t="s">
        <v>2094</v>
      </c>
      <c r="D117" s="515" t="s">
        <v>2095</v>
      </c>
      <c r="E117" s="549">
        <v>0.1</v>
      </c>
      <c r="F117" s="549">
        <v>15</v>
      </c>
    </row>
    <row r="118" ht="24" spans="1:6">
      <c r="A118" s="549">
        <v>46</v>
      </c>
      <c r="B118" s="546" t="s">
        <v>2096</v>
      </c>
      <c r="C118" s="549" t="s">
        <v>2097</v>
      </c>
      <c r="D118" s="515" t="s">
        <v>2098</v>
      </c>
      <c r="E118" s="549">
        <v>0.1</v>
      </c>
      <c r="F118" s="549">
        <v>15</v>
      </c>
    </row>
    <row r="119" ht="24" spans="1:6">
      <c r="A119" s="549">
        <v>47</v>
      </c>
      <c r="B119" s="548"/>
      <c r="C119" s="549" t="s">
        <v>2099</v>
      </c>
      <c r="D119" s="515" t="s">
        <v>2100</v>
      </c>
      <c r="E119" s="549">
        <v>0.1</v>
      </c>
      <c r="F119" s="549">
        <v>15</v>
      </c>
    </row>
    <row r="120" ht="13.5" spans="1:6">
      <c r="A120" s="549">
        <v>48</v>
      </c>
      <c r="B120" s="546" t="s">
        <v>2101</v>
      </c>
      <c r="C120" s="549" t="s">
        <v>2102</v>
      </c>
      <c r="D120" s="515" t="s">
        <v>2103</v>
      </c>
      <c r="E120" s="549">
        <v>0.1</v>
      </c>
      <c r="F120" s="549">
        <v>15</v>
      </c>
    </row>
    <row r="121" ht="13.5" spans="1:6">
      <c r="A121" s="549">
        <v>49</v>
      </c>
      <c r="B121" s="548"/>
      <c r="C121" s="549" t="s">
        <v>2104</v>
      </c>
      <c r="D121" s="515" t="s">
        <v>2105</v>
      </c>
      <c r="E121" s="549">
        <v>0.1</v>
      </c>
      <c r="F121" s="549">
        <v>15</v>
      </c>
    </row>
    <row r="122" ht="24" spans="1:6">
      <c r="A122" s="549">
        <v>50</v>
      </c>
      <c r="B122" s="549" t="s">
        <v>2106</v>
      </c>
      <c r="C122" s="549" t="s">
        <v>2107</v>
      </c>
      <c r="D122" s="515" t="s">
        <v>2108</v>
      </c>
      <c r="E122" s="549">
        <v>0.1</v>
      </c>
      <c r="F122" s="549">
        <v>15</v>
      </c>
    </row>
    <row r="123" ht="24" spans="1:6">
      <c r="A123" s="549">
        <v>51</v>
      </c>
      <c r="B123" s="549"/>
      <c r="C123" s="549" t="s">
        <v>2109</v>
      </c>
      <c r="D123" s="515" t="s">
        <v>2110</v>
      </c>
      <c r="E123" s="549">
        <v>0.1</v>
      </c>
      <c r="F123" s="549">
        <v>15</v>
      </c>
    </row>
    <row r="124" ht="24" spans="1:6">
      <c r="A124" s="549">
        <v>52</v>
      </c>
      <c r="B124" s="549" t="s">
        <v>2111</v>
      </c>
      <c r="C124" s="549" t="s">
        <v>2112</v>
      </c>
      <c r="D124" s="515" t="s">
        <v>2113</v>
      </c>
      <c r="E124" s="549">
        <v>0.1</v>
      </c>
      <c r="F124" s="549">
        <v>15</v>
      </c>
    </row>
    <row r="125" ht="24" spans="1:6">
      <c r="A125" s="549">
        <v>53</v>
      </c>
      <c r="B125" s="549"/>
      <c r="C125" s="549" t="s">
        <v>2114</v>
      </c>
      <c r="D125" s="515" t="s">
        <v>2115</v>
      </c>
      <c r="E125" s="549">
        <v>0.1</v>
      </c>
      <c r="F125" s="549">
        <v>15</v>
      </c>
    </row>
    <row r="126" ht="13.5" spans="1:6">
      <c r="A126" s="549">
        <v>54</v>
      </c>
      <c r="B126" s="549" t="s">
        <v>2116</v>
      </c>
      <c r="C126" s="549" t="s">
        <v>2117</v>
      </c>
      <c r="D126" s="515" t="s">
        <v>2118</v>
      </c>
      <c r="E126" s="549">
        <v>0.1</v>
      </c>
      <c r="F126" s="549">
        <v>15</v>
      </c>
    </row>
    <row r="127" ht="13.5" spans="1:6">
      <c r="A127" s="549">
        <v>55</v>
      </c>
      <c r="B127" s="549" t="s">
        <v>2119</v>
      </c>
      <c r="C127" s="549" t="s">
        <v>2120</v>
      </c>
      <c r="D127" s="515" t="s">
        <v>2121</v>
      </c>
      <c r="E127" s="549">
        <v>0.1</v>
      </c>
      <c r="F127" s="549">
        <v>15</v>
      </c>
    </row>
    <row r="128" ht="13.5" spans="1:6">
      <c r="A128" s="549">
        <v>56</v>
      </c>
      <c r="B128" s="549"/>
      <c r="C128" s="549" t="s">
        <v>2122</v>
      </c>
      <c r="D128" s="515" t="s">
        <v>2123</v>
      </c>
      <c r="E128" s="549">
        <v>0.1</v>
      </c>
      <c r="F128" s="549">
        <v>15</v>
      </c>
    </row>
    <row r="129" ht="24" spans="1:6">
      <c r="A129" s="549">
        <v>57</v>
      </c>
      <c r="B129" s="549"/>
      <c r="C129" s="549" t="s">
        <v>2124</v>
      </c>
      <c r="D129" s="515" t="s">
        <v>2125</v>
      </c>
      <c r="E129" s="549">
        <v>0.1</v>
      </c>
      <c r="F129" s="549">
        <v>15</v>
      </c>
    </row>
    <row r="130" ht="24" spans="1:6">
      <c r="A130" s="549">
        <v>58</v>
      </c>
      <c r="B130" s="549" t="s">
        <v>2126</v>
      </c>
      <c r="C130" s="549" t="s">
        <v>2127</v>
      </c>
      <c r="D130" s="515" t="s">
        <v>2128</v>
      </c>
      <c r="E130" s="549">
        <v>0.1</v>
      </c>
      <c r="F130" s="549">
        <v>15</v>
      </c>
    </row>
    <row r="131" ht="13.5" spans="1:6">
      <c r="A131" s="549">
        <v>59</v>
      </c>
      <c r="B131" s="549"/>
      <c r="C131" s="549" t="s">
        <v>2129</v>
      </c>
      <c r="D131" s="515" t="s">
        <v>2130</v>
      </c>
      <c r="E131" s="549">
        <v>0.1</v>
      </c>
      <c r="F131" s="549">
        <v>15</v>
      </c>
    </row>
    <row r="132" ht="13.5" spans="1:6">
      <c r="A132" s="549">
        <v>60</v>
      </c>
      <c r="B132" s="546" t="s">
        <v>2131</v>
      </c>
      <c r="C132" s="549" t="s">
        <v>2132</v>
      </c>
      <c r="D132" s="515" t="s">
        <v>2133</v>
      </c>
      <c r="E132" s="549">
        <v>0.1</v>
      </c>
      <c r="F132" s="549">
        <v>15</v>
      </c>
    </row>
    <row r="133" ht="13.5" spans="1:6">
      <c r="A133" s="549">
        <v>61</v>
      </c>
      <c r="B133" s="548"/>
      <c r="C133" s="549" t="s">
        <v>2134</v>
      </c>
      <c r="D133" s="515" t="s">
        <v>2135</v>
      </c>
      <c r="E133" s="549">
        <v>0.1</v>
      </c>
      <c r="F133" s="549">
        <v>15</v>
      </c>
    </row>
    <row r="134" ht="24" spans="1:6">
      <c r="A134" s="549">
        <v>62</v>
      </c>
      <c r="B134" s="549" t="s">
        <v>2136</v>
      </c>
      <c r="C134" s="549" t="s">
        <v>2137</v>
      </c>
      <c r="D134" s="515" t="s">
        <v>2138</v>
      </c>
      <c r="E134" s="549">
        <v>0.1</v>
      </c>
      <c r="F134" s="549">
        <v>15</v>
      </c>
    </row>
    <row r="135" ht="13.5" spans="1:6">
      <c r="A135" s="549">
        <v>63</v>
      </c>
      <c r="B135" s="549" t="s">
        <v>2139</v>
      </c>
      <c r="C135" s="549" t="s">
        <v>2140</v>
      </c>
      <c r="D135" s="515" t="s">
        <v>2141</v>
      </c>
      <c r="E135" s="549">
        <v>0.1</v>
      </c>
      <c r="F135" s="549">
        <v>15</v>
      </c>
    </row>
    <row r="136" ht="13.5" spans="1:6">
      <c r="A136" s="549">
        <v>64</v>
      </c>
      <c r="B136" s="549"/>
      <c r="C136" s="549" t="s">
        <v>2142</v>
      </c>
      <c r="D136" s="515" t="s">
        <v>2143</v>
      </c>
      <c r="E136" s="549">
        <v>0.1</v>
      </c>
      <c r="F136" s="549">
        <v>15</v>
      </c>
    </row>
    <row r="137" ht="13.5" spans="1:6">
      <c r="A137" s="549">
        <v>65</v>
      </c>
      <c r="B137" s="549" t="s">
        <v>2144</v>
      </c>
      <c r="C137" s="549" t="s">
        <v>2145</v>
      </c>
      <c r="D137" s="515" t="s">
        <v>2146</v>
      </c>
      <c r="E137" s="549">
        <v>0.1</v>
      </c>
      <c r="F137" s="549">
        <v>15</v>
      </c>
    </row>
    <row r="138" ht="13.5"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8"/>
    <col min="14" max="16384" width="9" style="479"/>
  </cols>
  <sheetData>
    <row r="1" ht="15" spans="1:14">
      <c r="A1" s="480" t="s">
        <v>2147</v>
      </c>
      <c r="B1" s="480"/>
      <c r="C1" s="480"/>
      <c r="D1" s="480"/>
      <c r="E1" s="480"/>
      <c r="F1" s="480"/>
      <c r="G1" s="480"/>
      <c r="H1" s="480"/>
      <c r="I1" s="480"/>
      <c r="J1" s="480"/>
      <c r="K1" s="480"/>
      <c r="L1" s="480"/>
      <c r="M1" s="480"/>
      <c r="N1" s="487"/>
    </row>
    <row r="2" spans="1:20">
      <c r="A2" s="481" t="s">
        <v>2148</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2149</v>
      </c>
      <c r="R2" s="492" t="s">
        <v>2150</v>
      </c>
      <c r="S2" s="492" t="s">
        <v>2151</v>
      </c>
      <c r="T2" s="492" t="s">
        <v>2152</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4.2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5" spans="1:13">
      <c r="A93" s="480" t="s">
        <v>2153</v>
      </c>
      <c r="B93" s="480"/>
      <c r="C93" s="480"/>
      <c r="D93" s="480"/>
      <c r="E93" s="480"/>
      <c r="F93" s="480"/>
      <c r="G93" s="480"/>
      <c r="H93" s="480"/>
      <c r="I93" s="480"/>
      <c r="J93" s="480"/>
      <c r="K93" s="480"/>
      <c r="L93" s="480"/>
      <c r="M93" s="480"/>
    </row>
    <row r="94" spans="1:20">
      <c r="A94" s="481" t="s">
        <v>2148</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2149</v>
      </c>
      <c r="R94" s="492" t="s">
        <v>2150</v>
      </c>
      <c r="S94" s="492" t="s">
        <v>2151</v>
      </c>
      <c r="T94" s="492" t="s">
        <v>2152</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4.25"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4.25"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4.2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5" spans="1:13">
      <c r="A185" s="480" t="s">
        <v>2154</v>
      </c>
      <c r="B185" s="480"/>
      <c r="C185" s="480"/>
      <c r="D185" s="480"/>
      <c r="E185" s="480"/>
      <c r="F185" s="480"/>
      <c r="G185" s="480"/>
      <c r="H185" s="480"/>
      <c r="I185" s="480"/>
      <c r="J185" s="480"/>
      <c r="K185" s="480"/>
      <c r="L185" s="480"/>
      <c r="M185" s="480"/>
    </row>
    <row r="186" spans="1:20">
      <c r="A186" s="481" t="s">
        <v>2148</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2149</v>
      </c>
      <c r="R186" s="492" t="s">
        <v>2150</v>
      </c>
      <c r="S186" s="492" t="s">
        <v>2151</v>
      </c>
      <c r="T186" s="492" t="s">
        <v>2152</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4.2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5" spans="1:13">
      <c r="A277" s="480" t="s">
        <v>2155</v>
      </c>
      <c r="B277" s="480"/>
      <c r="C277" s="480"/>
      <c r="D277" s="480"/>
      <c r="E277" s="480"/>
      <c r="F277" s="480"/>
      <c r="G277" s="480"/>
      <c r="H277" s="480"/>
      <c r="I277" s="480"/>
      <c r="J277" s="480"/>
      <c r="K277" s="480"/>
      <c r="L277" s="480"/>
      <c r="M277" s="480"/>
    </row>
    <row r="278" spans="1:21">
      <c r="A278" s="481" t="s">
        <v>2148</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2149</v>
      </c>
      <c r="R278" s="492" t="s">
        <v>2150</v>
      </c>
      <c r="S278" s="492" t="s">
        <v>2156</v>
      </c>
      <c r="T278" s="492" t="s">
        <v>2157</v>
      </c>
      <c r="U278" s="492" t="s">
        <v>2152</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4.2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5" spans="1:13">
      <c r="A369" s="480" t="s">
        <v>2158</v>
      </c>
      <c r="B369" s="496"/>
      <c r="C369" s="496"/>
      <c r="D369" s="496"/>
      <c r="E369" s="496"/>
      <c r="F369" s="496"/>
      <c r="G369" s="496"/>
      <c r="H369" s="496"/>
      <c r="I369" s="496"/>
      <c r="J369" s="496"/>
      <c r="K369" s="496"/>
      <c r="L369" s="496"/>
      <c r="M369" s="496"/>
    </row>
    <row r="370" spans="1:20">
      <c r="A370" s="481" t="s">
        <v>2148</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2149</v>
      </c>
      <c r="R370" s="492" t="s">
        <v>2150</v>
      </c>
      <c r="S370" s="492" t="s">
        <v>2151</v>
      </c>
      <c r="T370" s="492" t="s">
        <v>2152</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4.2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9" customWidth="1"/>
    <col min="2" max="2" width="37.25" style="3659" customWidth="1"/>
    <col min="3" max="3" width="11.375" style="3659" customWidth="1"/>
    <col min="4" max="4" width="31.75" style="3659" customWidth="1"/>
    <col min="5" max="5" width="0.5" style="3659" customWidth="1"/>
    <col min="6" max="7" width="13" style="3659" customWidth="1"/>
    <col min="8" max="16384" width="9" style="3659"/>
  </cols>
  <sheetData>
    <row r="1" ht="18.75" spans="1:5">
      <c r="A1" s="3660" t="s">
        <v>94</v>
      </c>
      <c r="B1" s="3661"/>
      <c r="C1" s="3661"/>
      <c r="D1" s="3661"/>
      <c r="E1" s="3661"/>
    </row>
    <row r="2" ht="78" customHeight="1" spans="1:5">
      <c r="A2" s="36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62"/>
      <c r="C2" s="3662"/>
      <c r="D2" s="3662"/>
      <c r="E2" s="3662"/>
    </row>
    <row r="3" ht="18" spans="1:5">
      <c r="A3" s="3663" t="str">
        <f>IF(项目基本情况!B9="房地产市场价值","估价结果一览表（市场价值不需“结果表-1”）","估价结果一览表")</f>
        <v>估价结果一览表（市场价值不需“结果表-1”）</v>
      </c>
      <c r="B3" s="3663"/>
      <c r="C3" s="3663"/>
      <c r="D3" s="3663"/>
      <c r="E3" s="3663"/>
    </row>
    <row r="4" ht="19.5" spans="1:5">
      <c r="A4" s="3663"/>
      <c r="B4" s="3664" t="s">
        <v>95</v>
      </c>
      <c r="C4" s="3664"/>
      <c r="D4" s="3664"/>
      <c r="E4" s="3663"/>
    </row>
    <row r="5" ht="16.5" spans="1:5">
      <c r="A5" s="3661"/>
      <c r="B5" s="3665" t="s">
        <v>96</v>
      </c>
      <c r="C5" s="3666" t="s">
        <v>97</v>
      </c>
      <c r="D5" s="3667" t="e">
        <f ca="1">结果表!H101</f>
        <v>#REF!</v>
      </c>
      <c r="E5" s="3661"/>
    </row>
    <row r="6" ht="15.75" spans="1:5">
      <c r="A6" s="3661"/>
      <c r="B6" s="3665"/>
      <c r="C6" s="3666" t="s">
        <v>98</v>
      </c>
      <c r="D6" s="3667" t="e">
        <f ca="1">NUMBERSTRING(INT(D5*10000),2)&amp;"元整"</f>
        <v>#REF!</v>
      </c>
      <c r="E6" s="3661"/>
    </row>
    <row r="7" ht="15.75" spans="1:5">
      <c r="A7" s="3661"/>
      <c r="B7" s="3668"/>
      <c r="C7" s="3669" t="s">
        <v>99</v>
      </c>
      <c r="D7" s="3670" t="e">
        <f ca="1">结果表!H102</f>
        <v>#REF!</v>
      </c>
      <c r="E7" s="3661"/>
    </row>
    <row r="8" ht="15.75" spans="1:5">
      <c r="A8" s="3661"/>
      <c r="B8" s="3671" t="str">
        <f>结果表!E103</f>
        <v>2.估价师知悉的法定优先受偿款</v>
      </c>
      <c r="C8" s="3672" t="s">
        <v>100</v>
      </c>
      <c r="D8" s="3670">
        <f>结果表!H103</f>
        <v>0</v>
      </c>
      <c r="E8" s="3661"/>
    </row>
    <row r="9" spans="1:5">
      <c r="A9" s="3661"/>
      <c r="B9" s="3673"/>
      <c r="C9" s="3666" t="s">
        <v>98</v>
      </c>
      <c r="D9" s="3667" t="str">
        <f>NUMBERSTRING(INT(D8*10000),2)&amp;"元整"</f>
        <v>零元整</v>
      </c>
      <c r="E9" s="3661"/>
    </row>
    <row r="10" ht="15" spans="1:5">
      <c r="A10" s="3661"/>
      <c r="B10" s="3674" t="s">
        <v>101</v>
      </c>
      <c r="C10" s="3675" t="s">
        <v>102</v>
      </c>
      <c r="D10" s="3676">
        <f>结果表!H104</f>
        <v>0</v>
      </c>
      <c r="E10" s="3661"/>
    </row>
    <row r="11" ht="15" spans="1:5">
      <c r="A11" s="3661"/>
      <c r="B11" s="3674" t="s">
        <v>103</v>
      </c>
      <c r="C11" s="3675" t="s">
        <v>102</v>
      </c>
      <c r="D11" s="3676">
        <f>结果表!H105</f>
        <v>0</v>
      </c>
      <c r="E11" s="3661"/>
    </row>
    <row r="12" ht="15" spans="1:5">
      <c r="A12" s="3661"/>
      <c r="B12" s="3674" t="s">
        <v>104</v>
      </c>
      <c r="C12" s="3675" t="s">
        <v>102</v>
      </c>
      <c r="D12" s="3676">
        <f>结果表!H106</f>
        <v>0</v>
      </c>
      <c r="E12" s="3661"/>
    </row>
    <row r="13" ht="15.75" spans="1:5">
      <c r="A13" s="3661"/>
      <c r="B13" s="3677" t="str">
        <f>结果表!E107</f>
        <v>——</v>
      </c>
      <c r="C13" s="3678" t="s">
        <v>97</v>
      </c>
      <c r="D13" s="3679" t="str">
        <f ca="1">结果表!H107</f>
        <v>——</v>
      </c>
      <c r="E13" s="3661"/>
    </row>
    <row r="14" ht="15.75" spans="1:5">
      <c r="A14" s="3661"/>
      <c r="B14" s="3665"/>
      <c r="C14" s="3666" t="s">
        <v>98</v>
      </c>
      <c r="D14" s="3667" t="e">
        <f ca="1">NUMBERSTRING(INT(D13*10000),2)&amp;"元整"</f>
        <v>#VALUE!</v>
      </c>
      <c r="E14" s="3661"/>
    </row>
    <row r="15" ht="15" spans="1:5">
      <c r="A15" s="3661"/>
      <c r="B15" s="3668"/>
      <c r="C15" s="3669" t="s">
        <v>99</v>
      </c>
      <c r="D15" s="3680" t="e">
        <f ca="1">结果表!H108</f>
        <v>#REF!</v>
      </c>
      <c r="E15" s="3661"/>
    </row>
    <row r="16" ht="15" spans="1:5">
      <c r="A16" s="3661"/>
      <c r="B16" s="3671" t="str">
        <f>结果表!E109</f>
        <v>3.抵押担保权已注销时的房地产抵押价值</v>
      </c>
      <c r="C16" s="3678" t="s">
        <v>97</v>
      </c>
      <c r="D16" s="3681" t="str">
        <f ca="1">结果表!H109</f>
        <v>——</v>
      </c>
      <c r="E16" s="3661"/>
    </row>
    <row r="17" ht="15.75" spans="1:5">
      <c r="A17" s="3661"/>
      <c r="B17" s="3682"/>
      <c r="C17" s="3666" t="s">
        <v>98</v>
      </c>
      <c r="D17" s="3667" t="e">
        <f ca="1">NUMBERSTRING(INT(D16*10000),2)&amp;"元整"</f>
        <v>#VALUE!</v>
      </c>
      <c r="E17" s="3661"/>
    </row>
    <row r="18" ht="15" spans="1:5">
      <c r="A18" s="3661"/>
      <c r="B18" s="3673"/>
      <c r="C18" s="3669" t="s">
        <v>99</v>
      </c>
      <c r="D18" s="3680" t="str">
        <f ca="1">结果表!H110</f>
        <v>——</v>
      </c>
      <c r="E18" s="3661"/>
    </row>
    <row r="19" ht="15.75" spans="1:5">
      <c r="A19" s="3661"/>
      <c r="B19" s="3677" t="str">
        <f>结果表!E111</f>
        <v>——</v>
      </c>
      <c r="C19" s="3678" t="s">
        <v>97</v>
      </c>
      <c r="D19" s="3670" t="str">
        <f ca="1">结果表!H111</f>
        <v>——</v>
      </c>
      <c r="E19" s="3661"/>
    </row>
    <row r="20" ht="15.75" spans="1:5">
      <c r="A20" s="3661"/>
      <c r="B20" s="3665"/>
      <c r="C20" s="3666" t="s">
        <v>98</v>
      </c>
      <c r="D20" s="3667" t="e">
        <f ca="1">NUMBERSTRING(INT(D19*10000),2)&amp;"元整"</f>
        <v>#VALUE!</v>
      </c>
      <c r="E20" s="3661"/>
    </row>
    <row r="21" ht="15.75" spans="1:5">
      <c r="A21" s="3661"/>
      <c r="B21" s="3683"/>
      <c r="C21" s="3684" t="s">
        <v>99</v>
      </c>
      <c r="D21" s="3685" t="str">
        <f ca="1">结果表!H112</f>
        <v>——</v>
      </c>
      <c r="E21" s="3661"/>
    </row>
    <row r="22" ht="15" spans="1:5">
      <c r="A22" s="3661"/>
      <c r="B22" s="3686" t="s">
        <v>105</v>
      </c>
      <c r="C22" s="3661"/>
      <c r="D22" s="3661"/>
      <c r="E22" s="3661"/>
    </row>
    <row r="23" spans="1:5">
      <c r="A23" s="3661"/>
      <c r="B23" s="3661"/>
      <c r="C23" s="3661"/>
      <c r="D23" s="3661"/>
      <c r="E23" s="3661"/>
    </row>
    <row r="24" ht="18.75" spans="1:5">
      <c r="A24" s="3687"/>
      <c r="B24" s="3688" t="s">
        <v>106</v>
      </c>
      <c r="C24" s="3687"/>
      <c r="D24" s="3687"/>
      <c r="E24" s="3687"/>
    </row>
    <row r="25" spans="1:5">
      <c r="A25" s="3687"/>
      <c r="B25" s="3687"/>
      <c r="C25" s="3687"/>
      <c r="D25" s="3687"/>
      <c r="E25" s="3687"/>
    </row>
    <row r="26" spans="1:5">
      <c r="A26" s="3687"/>
      <c r="B26" s="3687"/>
      <c r="C26" s="3687"/>
      <c r="D26" s="3687"/>
      <c r="E26" s="3687"/>
    </row>
    <row r="27" spans="1:5">
      <c r="A27" s="3687"/>
      <c r="B27" s="3687"/>
      <c r="C27" s="3687"/>
      <c r="D27" s="3687"/>
      <c r="E27" s="3687"/>
    </row>
    <row r="28" spans="1:5">
      <c r="A28" s="3687"/>
      <c r="B28" s="3687"/>
      <c r="C28" s="3687"/>
      <c r="D28" s="3687"/>
      <c r="E28" s="3687"/>
    </row>
    <row r="29" spans="1:5">
      <c r="A29" s="3687"/>
      <c r="B29" s="3687"/>
      <c r="C29" s="3687"/>
      <c r="D29" s="3687"/>
      <c r="E29" s="3687"/>
    </row>
    <row r="30" spans="1:5">
      <c r="A30" s="3687"/>
      <c r="B30" s="3687"/>
      <c r="C30" s="3687"/>
      <c r="D30" s="3687"/>
      <c r="E30" s="3687"/>
    </row>
    <row r="31" spans="1:5">
      <c r="A31" s="3687"/>
      <c r="B31" s="3687"/>
      <c r="C31" s="3687"/>
      <c r="D31" s="3687"/>
      <c r="E31" s="3687"/>
    </row>
    <row r="32" spans="1:5">
      <c r="A32" s="3687"/>
      <c r="B32" s="3687"/>
      <c r="C32" s="3687"/>
      <c r="D32" s="3687"/>
      <c r="E32" s="3687"/>
    </row>
    <row r="33" spans="1:5">
      <c r="A33" s="3687"/>
      <c r="B33" s="3687"/>
      <c r="C33" s="3687"/>
      <c r="D33" s="3687"/>
      <c r="E33" s="3687"/>
    </row>
    <row r="34" spans="1:5">
      <c r="A34" s="3687"/>
      <c r="B34" s="3687"/>
      <c r="C34" s="3687"/>
      <c r="D34" s="3687"/>
      <c r="E34" s="3687"/>
    </row>
    <row r="35" spans="1:5">
      <c r="A35" s="3687"/>
      <c r="B35" s="3687"/>
      <c r="C35" s="3687"/>
      <c r="D35" s="3687"/>
      <c r="E35" s="3687"/>
    </row>
    <row r="36" spans="1:5">
      <c r="A36" s="3687"/>
      <c r="B36" s="3687"/>
      <c r="C36" s="3687"/>
      <c r="D36" s="3687"/>
      <c r="E36" s="3687"/>
    </row>
    <row r="37" spans="1:5">
      <c r="A37" s="3687"/>
      <c r="B37" s="3687"/>
      <c r="C37" s="3687"/>
      <c r="D37" s="3687"/>
      <c r="E37" s="3687"/>
    </row>
    <row r="38" spans="1:5">
      <c r="A38" s="3687"/>
      <c r="B38" s="3687"/>
      <c r="C38" s="3687"/>
      <c r="D38" s="3687"/>
      <c r="E38" s="3687"/>
    </row>
    <row r="39" spans="1:5">
      <c r="A39" s="3687"/>
      <c r="B39" s="3687"/>
      <c r="C39" s="3687"/>
      <c r="D39" s="3687"/>
      <c r="E39" s="3687"/>
    </row>
    <row r="40" spans="1:5">
      <c r="A40" s="3687"/>
      <c r="B40" s="3687"/>
      <c r="C40" s="3687"/>
      <c r="D40" s="3687"/>
      <c r="E40" s="3687"/>
    </row>
    <row r="41" spans="1:5">
      <c r="A41" s="3687"/>
      <c r="B41" s="3687"/>
      <c r="C41" s="3687"/>
      <c r="D41" s="3687"/>
      <c r="E41" s="3687"/>
    </row>
    <row r="42" spans="1:5">
      <c r="A42" s="3687"/>
      <c r="B42" s="3687"/>
      <c r="C42" s="3687"/>
      <c r="D42" s="3687"/>
      <c r="E42" s="36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2159</v>
      </c>
      <c r="B1" s="391"/>
      <c r="C1" s="392"/>
      <c r="D1" s="392"/>
      <c r="E1" s="392"/>
      <c r="F1" s="392"/>
      <c r="G1" s="393"/>
    </row>
    <row r="2" s="382" customFormat="1" ht="18" customHeight="1" spans="1:7">
      <c r="A2" s="394" t="s">
        <v>2160</v>
      </c>
      <c r="B2" s="395">
        <f>C52</f>
        <v>30026</v>
      </c>
      <c r="C2" s="396" t="s">
        <v>1468</v>
      </c>
      <c r="D2" s="393"/>
      <c r="E2" s="393"/>
      <c r="F2" s="393"/>
      <c r="G2" s="393"/>
    </row>
    <row r="3" s="382" customFormat="1" ht="18" customHeight="1" spans="1:7">
      <c r="A3" s="397" t="s">
        <v>2161</v>
      </c>
      <c r="B3" s="398">
        <f>ROUND(B2*10000/'数据-汇总表'!E3,0)</f>
        <v>1419199</v>
      </c>
      <c r="C3" s="396" t="s">
        <v>1632</v>
      </c>
      <c r="D3" s="393"/>
      <c r="E3" s="393"/>
      <c r="F3" s="393"/>
      <c r="G3" s="393"/>
    </row>
    <row r="4" s="383" customFormat="1" ht="15.75" spans="1:7">
      <c r="A4" s="399" t="s">
        <v>2162</v>
      </c>
      <c r="B4" s="400"/>
      <c r="C4" s="400"/>
      <c r="D4" s="400"/>
      <c r="E4" s="400"/>
      <c r="F4" s="400"/>
      <c r="G4" s="401"/>
    </row>
    <row r="5" s="384" customFormat="1" ht="13.5" customHeight="1" spans="1:7">
      <c r="A5" s="402" t="s">
        <v>989</v>
      </c>
      <c r="B5" s="403" t="s">
        <v>2163</v>
      </c>
      <c r="C5" s="404">
        <f>C6+C7+C8</f>
        <v>20610</v>
      </c>
      <c r="D5" s="404" t="s">
        <v>2164</v>
      </c>
      <c r="E5" s="405" t="s">
        <v>2165</v>
      </c>
      <c r="F5" s="405" t="s">
        <v>2166</v>
      </c>
      <c r="G5" s="406"/>
    </row>
    <row r="6" s="384" customFormat="1" ht="13.5" customHeight="1" spans="1:7">
      <c r="A6" s="407" t="s">
        <v>993</v>
      </c>
      <c r="B6" s="408" t="s">
        <v>2167</v>
      </c>
      <c r="C6" s="409">
        <v>20000</v>
      </c>
      <c r="D6" s="410"/>
      <c r="E6" s="411"/>
      <c r="F6" s="411"/>
      <c r="G6" s="412"/>
    </row>
    <row r="7" s="384" customFormat="1" ht="13.5" customHeight="1" spans="1:7">
      <c r="A7" s="407" t="s">
        <v>995</v>
      </c>
      <c r="B7" s="408" t="s">
        <v>2168</v>
      </c>
      <c r="C7" s="413">
        <f>ROUND(C6*F7,0)</f>
        <v>610</v>
      </c>
      <c r="D7" s="413"/>
      <c r="E7" s="411"/>
      <c r="F7" s="414">
        <f>'数据-取费表'!B48+'数据-取费表'!B49</f>
        <v>0.0305</v>
      </c>
      <c r="G7" s="412"/>
    </row>
    <row r="8" s="385" customFormat="1" spans="1:7">
      <c r="A8" s="407" t="s">
        <v>997</v>
      </c>
      <c r="B8" s="408" t="s">
        <v>2169</v>
      </c>
      <c r="C8" s="413" t="str">
        <f>IF(G8="已包含在土地购买价格中","0",'数据-取费表'!B29)</f>
        <v>0</v>
      </c>
      <c r="D8" s="415"/>
      <c r="E8" s="413"/>
      <c r="F8" s="414"/>
      <c r="G8" s="416" t="s">
        <v>2170</v>
      </c>
    </row>
    <row r="9" s="384" customFormat="1" ht="13.5" customHeight="1" spans="1:7">
      <c r="A9" s="417" t="s">
        <v>999</v>
      </c>
      <c r="B9" s="418" t="s">
        <v>2171</v>
      </c>
      <c r="C9" s="419">
        <f>ROUND(D9*E9/10000,0)</f>
        <v>3</v>
      </c>
      <c r="D9" s="420">
        <f>'数据-汇总表'!E5</f>
        <v>211.57</v>
      </c>
      <c r="E9" s="419">
        <f>'数据-取费表'!B27</f>
        <v>160</v>
      </c>
      <c r="F9" s="414"/>
      <c r="G9" s="421"/>
    </row>
    <row r="10" s="384" customFormat="1" ht="13.5" customHeight="1" spans="1:7">
      <c r="A10" s="417" t="s">
        <v>1002</v>
      </c>
      <c r="B10" s="418" t="s">
        <v>2172</v>
      </c>
      <c r="C10" s="419">
        <f>ROUND(D10*E10/10000,0)</f>
        <v>0</v>
      </c>
      <c r="D10" s="420">
        <f>'数据-汇总表'!E6</f>
        <v>0</v>
      </c>
      <c r="E10" s="419">
        <f>'数据-取费表'!B28</f>
        <v>200</v>
      </c>
      <c r="F10" s="414"/>
      <c r="G10" s="421"/>
    </row>
    <row r="11" s="384" customFormat="1" ht="13.5" hidden="1" customHeight="1" spans="1:7">
      <c r="A11" s="422" t="s">
        <v>1004</v>
      </c>
      <c r="B11" s="408" t="s">
        <v>2173</v>
      </c>
      <c r="C11" s="404"/>
      <c r="D11" s="423"/>
      <c r="E11" s="411"/>
      <c r="F11" s="411"/>
      <c r="G11" s="412"/>
    </row>
    <row r="12" s="384" customFormat="1" ht="13.5" hidden="1" customHeight="1" spans="1:7">
      <c r="A12" s="422" t="s">
        <v>1006</v>
      </c>
      <c r="B12" s="408" t="s">
        <v>2174</v>
      </c>
      <c r="C12" s="404">
        <v>0</v>
      </c>
      <c r="D12" s="423"/>
      <c r="E12" s="424"/>
      <c r="F12" s="414">
        <v>0.0305</v>
      </c>
      <c r="G12" s="412"/>
    </row>
    <row r="13" s="384" customFormat="1" ht="13.5" hidden="1" customHeight="1" spans="1:7">
      <c r="A13" s="422" t="s">
        <v>1007</v>
      </c>
      <c r="B13" s="408" t="s">
        <v>2175</v>
      </c>
      <c r="C13" s="404"/>
      <c r="D13" s="423"/>
      <c r="E13" s="411"/>
      <c r="F13" s="411"/>
      <c r="G13" s="412"/>
    </row>
    <row r="14" s="384" customFormat="1" ht="13.5" hidden="1" customHeight="1" spans="1:7">
      <c r="A14" s="422" t="s">
        <v>1009</v>
      </c>
      <c r="B14" s="408" t="s">
        <v>2169</v>
      </c>
      <c r="C14" s="404"/>
      <c r="D14" s="423"/>
      <c r="E14" s="411"/>
      <c r="F14" s="411"/>
      <c r="G14" s="412" t="s">
        <v>2176</v>
      </c>
    </row>
    <row r="15" s="384" customFormat="1" ht="13.5" hidden="1" customHeight="1" spans="1:7">
      <c r="A15" s="422" t="s">
        <v>1011</v>
      </c>
      <c r="B15" s="408" t="s">
        <v>2177</v>
      </c>
      <c r="C15" s="413"/>
      <c r="D15" s="423"/>
      <c r="E15" s="411"/>
      <c r="F15" s="411"/>
      <c r="G15" s="412" t="s">
        <v>2178</v>
      </c>
    </row>
    <row r="16" s="384" customFormat="1" ht="13.5" hidden="1" customHeight="1" spans="1:7">
      <c r="A16" s="422" t="s">
        <v>1014</v>
      </c>
      <c r="B16" s="408" t="s">
        <v>2169</v>
      </c>
      <c r="C16" s="413"/>
      <c r="D16" s="423"/>
      <c r="E16" s="411"/>
      <c r="F16" s="411"/>
      <c r="G16" s="412"/>
    </row>
    <row r="17" s="384" customFormat="1" ht="13.5" hidden="1" customHeight="1" spans="1:7">
      <c r="A17" s="422" t="s">
        <v>1015</v>
      </c>
      <c r="B17" s="408" t="s">
        <v>2179</v>
      </c>
      <c r="C17" s="425"/>
      <c r="D17" s="426"/>
      <c r="E17" s="425"/>
      <c r="F17" s="425"/>
      <c r="G17" s="412" t="s">
        <v>2178</v>
      </c>
    </row>
    <row r="18" s="384" customFormat="1" ht="13.5" hidden="1" customHeight="1" spans="1:7">
      <c r="A18" s="422" t="s">
        <v>1017</v>
      </c>
      <c r="B18" s="408" t="s">
        <v>2180</v>
      </c>
      <c r="C18" s="413">
        <v>0</v>
      </c>
      <c r="D18" s="423"/>
      <c r="E18" s="411"/>
      <c r="F18" s="414">
        <v>0.0305</v>
      </c>
      <c r="G18" s="412" t="s">
        <v>2181</v>
      </c>
    </row>
    <row r="19" s="385" customFormat="1" ht="13.5" customHeight="1" spans="1:7">
      <c r="A19" s="427" t="s">
        <v>1735</v>
      </c>
      <c r="B19" s="403" t="s">
        <v>2182</v>
      </c>
      <c r="C19" s="404">
        <f>IF(G19="已包含在土地取得成本中","0",ROUND(D19*E19/10000,0))</f>
        <v>6</v>
      </c>
      <c r="D19" s="428">
        <f>'数据-汇总表'!E3</f>
        <v>211.57</v>
      </c>
      <c r="E19" s="404">
        <f>'数据-取费表'!B31</f>
        <v>300</v>
      </c>
      <c r="F19" s="429"/>
      <c r="G19" s="416" t="s">
        <v>2183</v>
      </c>
    </row>
    <row r="20" s="384" customFormat="1" ht="13.5" customHeight="1" spans="1:7">
      <c r="A20" s="427" t="s">
        <v>1771</v>
      </c>
      <c r="B20" s="403" t="s">
        <v>2184</v>
      </c>
      <c r="C20" s="430">
        <f>ROUND((C5+C19)*F20,0)</f>
        <v>515</v>
      </c>
      <c r="D20" s="430"/>
      <c r="E20" s="430"/>
      <c r="F20" s="431">
        <f>'数据-取费表'!B37</f>
        <v>0.025</v>
      </c>
      <c r="G20" s="432" t="s">
        <v>2185</v>
      </c>
    </row>
    <row r="21" s="384" customFormat="1" ht="13.5" customHeight="1" spans="1:7">
      <c r="A21" s="427" t="s">
        <v>1776</v>
      </c>
      <c r="B21" s="403" t="s">
        <v>2186</v>
      </c>
      <c r="C21" s="433">
        <f>F21</f>
        <v>0.025</v>
      </c>
      <c r="D21" s="434" t="s">
        <v>2187</v>
      </c>
      <c r="E21" s="430"/>
      <c r="F21" s="431">
        <f>'数据-取费表'!B38</f>
        <v>0.025</v>
      </c>
      <c r="G21" s="435" t="s">
        <v>2188</v>
      </c>
    </row>
    <row r="22" s="384" customFormat="1" ht="13.5" customHeight="1" spans="1:7">
      <c r="A22" s="427" t="s">
        <v>1785</v>
      </c>
      <c r="B22" s="403" t="s">
        <v>2189</v>
      </c>
      <c r="C22" s="436">
        <f>ROUND(SUM(C23:C25),0)</f>
        <v>2029</v>
      </c>
      <c r="D22" s="433">
        <f>C26</f>
        <v>0.0012</v>
      </c>
      <c r="E22" s="434" t="s">
        <v>2187</v>
      </c>
      <c r="F22" s="437">
        <f>'数据-取费表'!B40</f>
        <v>0.0475</v>
      </c>
      <c r="G22" s="432" t="str">
        <f>IF('数据-取费表'!B22&lt;=1,"单利计息","复利计息")</f>
        <v>复利计息</v>
      </c>
    </row>
    <row r="23" s="384" customFormat="1" ht="13.5" customHeight="1" spans="1:7">
      <c r="A23" s="438" t="s">
        <v>993</v>
      </c>
      <c r="B23" s="408" t="s">
        <v>2190</v>
      </c>
      <c r="C23" s="439">
        <f>ROUND(IF('数据-取费表'!B22&lt;=1,C5*F22*'数据-取费表'!B23,C5*(POWER((1+F22),'数据-取费表'!B23)-1)),0)</f>
        <v>2004</v>
      </c>
      <c r="D23" s="440"/>
      <c r="E23" s="440"/>
      <c r="F23" s="441"/>
      <c r="G23" s="442" t="s">
        <v>2191</v>
      </c>
    </row>
    <row r="24" s="384" customFormat="1" ht="13.5" customHeight="1" spans="1:7">
      <c r="A24" s="438" t="s">
        <v>995</v>
      </c>
      <c r="B24" s="408" t="s">
        <v>2192</v>
      </c>
      <c r="C24" s="439">
        <f>ROUND(IF('数据-取费表'!B22&lt;=1,C19*F22*('数据-取费表'!B19/2+'数据-取费表'!B21),C19*(POWER((1+F22),('数据-取费表'!B19/2+'数据-取费表'!B21))-1)),0)</f>
        <v>1</v>
      </c>
      <c r="D24" s="440"/>
      <c r="E24" s="440"/>
      <c r="F24" s="441"/>
      <c r="G24" s="442" t="s">
        <v>2193</v>
      </c>
    </row>
    <row r="25" s="384" customFormat="1" ht="24" spans="1:7">
      <c r="A25" s="438" t="s">
        <v>997</v>
      </c>
      <c r="B25" s="408" t="s">
        <v>2194</v>
      </c>
      <c r="C25" s="439">
        <f>ROUND(IF('数据-取费表'!B22&lt;=1,C20*F22*'数据-取费表'!B23/2,C20*(POWER((1+F22),'数据-取费表'!B23/2)-1)),0)</f>
        <v>24</v>
      </c>
      <c r="D25" s="440"/>
      <c r="E25" s="443"/>
      <c r="F25" s="441"/>
      <c r="G25" s="444" t="s">
        <v>2195</v>
      </c>
    </row>
    <row r="26" s="384" customFormat="1" spans="1:7">
      <c r="A26" s="438" t="s">
        <v>1037</v>
      </c>
      <c r="B26" s="408" t="s">
        <v>2196</v>
      </c>
      <c r="C26" s="440">
        <f>ROUND(IF('数据-取费表'!B22&lt;=1,F21*F22*'数据-取费表'!B23/2,F21*(POWER((1+F22),'数据-取费表'!B23/2)-1)),4)</f>
        <v>0.0012</v>
      </c>
      <c r="D26" s="440"/>
      <c r="E26" s="443"/>
      <c r="F26" s="441"/>
      <c r="G26" s="445"/>
    </row>
    <row r="27" s="384" customFormat="1" ht="24.75" spans="1:7">
      <c r="A27" s="427" t="s">
        <v>1794</v>
      </c>
      <c r="B27" s="446" t="s">
        <v>2197</v>
      </c>
      <c r="C27" s="447">
        <f>C28</f>
        <v>4226</v>
      </c>
      <c r="D27" s="433">
        <f>C29</f>
        <v>0.005</v>
      </c>
      <c r="E27" s="434" t="s">
        <v>2187</v>
      </c>
      <c r="F27" s="448">
        <f>'数据-取费表'!Q16</f>
        <v>0.2</v>
      </c>
      <c r="G27" s="449" t="s">
        <v>2198</v>
      </c>
    </row>
    <row r="28" s="384" customFormat="1" ht="13.5" customHeight="1" spans="1:7">
      <c r="A28" s="438" t="s">
        <v>993</v>
      </c>
      <c r="B28" s="450" t="s">
        <v>2199</v>
      </c>
      <c r="C28" s="451">
        <f>ROUND((C5+C19+C20)*F27*'数据-取费表'!B21/'数据-取费表'!B20,0)</f>
        <v>4226</v>
      </c>
      <c r="D28" s="433"/>
      <c r="E28" s="434"/>
      <c r="F28" s="448"/>
      <c r="G28" s="449"/>
    </row>
    <row r="29" s="384" customFormat="1" ht="13.5" customHeight="1" spans="1:7">
      <c r="A29" s="438" t="s">
        <v>995</v>
      </c>
      <c r="B29" s="450" t="s">
        <v>2200</v>
      </c>
      <c r="C29" s="440">
        <f>ROUND(C21*F27*'数据-取费表'!B21/'数据-取费表'!B20,4)</f>
        <v>0.005</v>
      </c>
      <c r="D29" s="433"/>
      <c r="E29" s="434"/>
      <c r="F29" s="448"/>
      <c r="G29" s="449"/>
    </row>
    <row r="30" s="384" customFormat="1" ht="13.5" customHeight="1" spans="1:7">
      <c r="A30" s="427" t="s">
        <v>2201</v>
      </c>
      <c r="B30" s="403" t="s">
        <v>2202</v>
      </c>
      <c r="C30" s="433">
        <f>F30</f>
        <v>0.056</v>
      </c>
      <c r="D30" s="434" t="s">
        <v>2203</v>
      </c>
      <c r="E30" s="443"/>
      <c r="F30" s="437">
        <f>'数据-取费表'!B41</f>
        <v>0.056</v>
      </c>
      <c r="G30" s="435" t="s">
        <v>2204</v>
      </c>
    </row>
    <row r="31" ht="16.5" customHeight="1" spans="1:7">
      <c r="A31" s="452">
        <v>1</v>
      </c>
      <c r="B31" s="403" t="s">
        <v>2205</v>
      </c>
      <c r="C31" s="404">
        <f>ROUND((C5+C19+C20+C22+C27)/(1-C21-D22-D27-C30/(1+'数据-取费表'!B42)),0)</f>
        <v>29915</v>
      </c>
      <c r="D31" s="453"/>
      <c r="E31" s="404"/>
      <c r="F31" s="454"/>
      <c r="G31" s="435" t="s">
        <v>2206</v>
      </c>
    </row>
    <row r="32" s="383" customFormat="1" ht="15.75" spans="1:7">
      <c r="A32" s="455" t="s">
        <v>2207</v>
      </c>
      <c r="B32" s="456"/>
      <c r="C32" s="456"/>
      <c r="D32" s="456"/>
      <c r="E32" s="456"/>
      <c r="F32" s="456"/>
      <c r="G32" s="457"/>
    </row>
    <row r="33" s="384" customFormat="1" ht="13.5" customHeight="1" spans="1:7">
      <c r="A33" s="402" t="s">
        <v>989</v>
      </c>
      <c r="B33" s="403" t="s">
        <v>2208</v>
      </c>
      <c r="C33" s="458">
        <f>SUM(C34:C38)</f>
        <v>110</v>
      </c>
      <c r="D33" s="430"/>
      <c r="E33" s="405"/>
      <c r="F33" s="443"/>
      <c r="G33" s="435"/>
    </row>
    <row r="34" s="386" customFormat="1" ht="13.5" customHeight="1" spans="1:7">
      <c r="A34" s="438" t="s">
        <v>993</v>
      </c>
      <c r="B34" s="408" t="s">
        <v>2209</v>
      </c>
      <c r="C34" s="413">
        <f>IF(F34=100%,'数据-取费表'!M16-SUMIF('数据-取费表'!C:C,"公共配套",'数据-取费表'!M:M),'数据-取费表'!O16-SUMIF('数据-取费表'!C:C,"公共配套",'数据-取费表'!O:O))</f>
        <v>95</v>
      </c>
      <c r="D34" s="410"/>
      <c r="E34" s="413"/>
      <c r="F34" s="459">
        <f>IF('数据-取费表'!B24=0,1,'数据-取费表'!N16)</f>
        <v>1</v>
      </c>
      <c r="G34" s="412" t="s">
        <v>2210</v>
      </c>
    </row>
    <row r="35" ht="13.5" customHeight="1" spans="1:7">
      <c r="A35" s="438" t="s">
        <v>995</v>
      </c>
      <c r="B35" s="408" t="s">
        <v>2211</v>
      </c>
      <c r="C35" s="413">
        <f>ROUND(C34*F35,0)</f>
        <v>3</v>
      </c>
      <c r="D35" s="413"/>
      <c r="E35" s="413"/>
      <c r="F35" s="460">
        <f>'数据-取费表'!B33</f>
        <v>0.03</v>
      </c>
      <c r="G35" s="412" t="s">
        <v>2212</v>
      </c>
    </row>
    <row r="36" ht="24" spans="1:7">
      <c r="A36" s="438" t="s">
        <v>997</v>
      </c>
      <c r="B36" s="408" t="s">
        <v>2213</v>
      </c>
      <c r="C36" s="413">
        <f>ROUND(IF(SUMIF('数据-取费表'!C:C,"住宅",IF(F34=100%,'数据-取费表'!M:M,'数据-取费表'!O:O))=0,0,IF(F36=0,SUMIF('数据-取费表'!C:C,"公共配套",IF(F34=100%,'数据-取费表'!M:M,'数据-取费表'!O:O)),SUMIF('数据-取费表'!C:C,"住宅",IF(F34=100%,'数据-取费表'!M:M,'数据-取费表'!O:O))*F36)),0)</f>
        <v>5</v>
      </c>
      <c r="D36" s="413"/>
      <c r="E36" s="413"/>
      <c r="F36" s="460">
        <f>'数据-取费表'!B34</f>
        <v>0.05</v>
      </c>
      <c r="G36" s="461" t="s">
        <v>2214</v>
      </c>
    </row>
    <row r="37" s="386" customFormat="1" ht="13.5" customHeight="1" spans="1:7">
      <c r="A37" s="438" t="s">
        <v>1037</v>
      </c>
      <c r="B37" s="408" t="s">
        <v>2215</v>
      </c>
      <c r="C37" s="451">
        <f>ROUND(E37*D37*F34/10000,0)</f>
        <v>6</v>
      </c>
      <c r="D37" s="410">
        <f>'数据-汇总表'!E3</f>
        <v>211.57</v>
      </c>
      <c r="E37" s="451">
        <f>'数据-取费表'!B35</f>
        <v>300</v>
      </c>
      <c r="F37" s="460"/>
      <c r="G37" s="462" t="s">
        <v>2216</v>
      </c>
    </row>
    <row r="38" ht="13.5" customHeight="1" spans="1:7">
      <c r="A38" s="438" t="s">
        <v>1059</v>
      </c>
      <c r="B38" s="408" t="s">
        <v>2174</v>
      </c>
      <c r="C38" s="413">
        <f>ROUND(C34*F38,0)</f>
        <v>1</v>
      </c>
      <c r="D38" s="413"/>
      <c r="E38" s="413"/>
      <c r="F38" s="460">
        <f>'数据-取费表'!B36</f>
        <v>0.015</v>
      </c>
      <c r="G38" s="412" t="s">
        <v>2212</v>
      </c>
    </row>
    <row r="39" s="384" customFormat="1" ht="13.5" customHeight="1" spans="1:7">
      <c r="A39" s="427" t="s">
        <v>1735</v>
      </c>
      <c r="B39" s="403" t="s">
        <v>2184</v>
      </c>
      <c r="C39" s="430">
        <f>ROUND(C33*F20,0)</f>
        <v>3</v>
      </c>
      <c r="D39" s="430"/>
      <c r="E39" s="430"/>
      <c r="F39" s="431"/>
      <c r="G39" s="432" t="s">
        <v>2217</v>
      </c>
    </row>
    <row r="40" s="384" customFormat="1" ht="13.5" customHeight="1" spans="1:7">
      <c r="A40" s="427" t="s">
        <v>1771</v>
      </c>
      <c r="B40" s="403" t="s">
        <v>2186</v>
      </c>
      <c r="C40" s="463">
        <f>F21</f>
        <v>0.025</v>
      </c>
      <c r="D40" s="434" t="s">
        <v>2218</v>
      </c>
      <c r="E40" s="430"/>
      <c r="F40" s="431"/>
      <c r="G40" s="435" t="s">
        <v>2219</v>
      </c>
    </row>
    <row r="41" s="384" customFormat="1" ht="13.5" customHeight="1" spans="1:7">
      <c r="A41" s="427" t="s">
        <v>1776</v>
      </c>
      <c r="B41" s="403" t="s">
        <v>2189</v>
      </c>
      <c r="C41" s="430">
        <f>ROUND(SUM(C42:C43),0)</f>
        <v>5</v>
      </c>
      <c r="D41" s="433">
        <f>C44</f>
        <v>0.0012</v>
      </c>
      <c r="E41" s="434" t="s">
        <v>2218</v>
      </c>
      <c r="F41" s="437"/>
      <c r="G41" s="432" t="str">
        <f>IF('数据-取费表'!B22&lt;=1,"单利计息","复利计息")</f>
        <v>复利计息</v>
      </c>
    </row>
    <row r="42" ht="13.5" customHeight="1" spans="1:7">
      <c r="A42" s="438" t="s">
        <v>993</v>
      </c>
      <c r="B42" s="408" t="s">
        <v>2190</v>
      </c>
      <c r="C42" s="440">
        <f>ROUND(IF('数据-取费表'!B22&lt;=1,C33*F22*'数据-取费表'!B21/2,C33*(POWER((1+F22),'数据-取费表'!B21/2)-1)),0)</f>
        <v>5</v>
      </c>
      <c r="D42" s="440"/>
      <c r="E42" s="440"/>
      <c r="F42" s="441"/>
      <c r="G42" s="464" t="s">
        <v>2220</v>
      </c>
    </row>
    <row r="43" ht="13.5" customHeight="1" spans="1:7">
      <c r="A43" s="438" t="s">
        <v>995</v>
      </c>
      <c r="B43" s="408" t="s">
        <v>2192</v>
      </c>
      <c r="C43" s="440">
        <f>ROUND(IF('数据-取费表'!B22&lt;=1,C39*F22*'数据-取费表'!B21/2,C39*(POWER((1+F22),'数据-取费表'!B21/2)-1)),0)</f>
        <v>0</v>
      </c>
      <c r="D43" s="440"/>
      <c r="E43" s="440"/>
      <c r="F43" s="441"/>
      <c r="G43" s="465"/>
    </row>
    <row r="44" ht="13.5" customHeight="1" spans="1:7">
      <c r="A44" s="438" t="s">
        <v>997</v>
      </c>
      <c r="B44" s="408" t="s">
        <v>2194</v>
      </c>
      <c r="C44" s="440">
        <f>ROUND(IF('数据-取费表'!B22&lt;=1,C40*F22*'数据-取费表'!B21/2,C40*(POWER((1+F22),'数据-取费表'!B21/2)-1)),4)</f>
        <v>0.0012</v>
      </c>
      <c r="D44" s="440"/>
      <c r="E44" s="440"/>
      <c r="F44" s="441"/>
      <c r="G44" s="466"/>
    </row>
    <row r="45" s="384" customFormat="1" ht="13.5" customHeight="1" spans="1:7">
      <c r="A45" s="427" t="s">
        <v>1785</v>
      </c>
      <c r="B45" s="446" t="s">
        <v>2197</v>
      </c>
      <c r="C45" s="447">
        <f>C46</f>
        <v>23</v>
      </c>
      <c r="D45" s="433">
        <f>C47</f>
        <v>0.005</v>
      </c>
      <c r="E45" s="434" t="s">
        <v>2218</v>
      </c>
      <c r="F45" s="448"/>
      <c r="G45" s="449" t="s">
        <v>2221</v>
      </c>
    </row>
    <row r="46" s="384" customFormat="1" ht="13.5" customHeight="1" spans="1:7">
      <c r="A46" s="438" t="s">
        <v>993</v>
      </c>
      <c r="B46" s="450" t="s">
        <v>2222</v>
      </c>
      <c r="C46" s="451">
        <f>ROUND((C33+C39)*F27,0)</f>
        <v>23</v>
      </c>
      <c r="D46" s="467"/>
      <c r="E46" s="434"/>
      <c r="F46" s="448"/>
      <c r="G46" s="449"/>
    </row>
    <row r="47" s="384" customFormat="1" ht="13.5" customHeight="1" spans="1:7">
      <c r="A47" s="438" t="s">
        <v>995</v>
      </c>
      <c r="B47" s="450" t="s">
        <v>2223</v>
      </c>
      <c r="C47" s="440">
        <f>ROUND(C40*F27,4)</f>
        <v>0.005</v>
      </c>
      <c r="D47" s="467"/>
      <c r="E47" s="434"/>
      <c r="F47" s="448"/>
      <c r="G47" s="449"/>
    </row>
    <row r="48" s="384" customFormat="1" ht="13.5" customHeight="1" spans="1:7">
      <c r="A48" s="427" t="s">
        <v>1794</v>
      </c>
      <c r="B48" s="403" t="s">
        <v>2202</v>
      </c>
      <c r="C48" s="463">
        <f>F30</f>
        <v>0.056</v>
      </c>
      <c r="D48" s="434" t="s">
        <v>2224</v>
      </c>
      <c r="E48" s="430"/>
      <c r="F48" s="437"/>
      <c r="G48" s="435" t="s">
        <v>2225</v>
      </c>
    </row>
    <row r="49" ht="16.5" customHeight="1" spans="1:7">
      <c r="A49" s="427" t="s">
        <v>2201</v>
      </c>
      <c r="B49" s="403" t="s">
        <v>2226</v>
      </c>
      <c r="C49" s="430">
        <f>ROUND((C33+C39+C41+C45)/(1-C40-D41-D45-C48/(1+'数据-取费表'!B42)),0)</f>
        <v>154</v>
      </c>
      <c r="D49" s="430"/>
      <c r="E49" s="430"/>
      <c r="F49" s="468"/>
      <c r="G49" s="435" t="s">
        <v>2227</v>
      </c>
    </row>
    <row r="50" s="386" customFormat="1" ht="24" spans="1:7">
      <c r="A50" s="427" t="s">
        <v>2228</v>
      </c>
      <c r="B50" s="403" t="s">
        <v>2229</v>
      </c>
      <c r="C50" s="430"/>
      <c r="D50" s="430"/>
      <c r="E50" s="430"/>
      <c r="F50" s="468">
        <f>IF('数据-取费表'!B24=0,'数据-取费表'!N16,1)</f>
        <v>0.72</v>
      </c>
      <c r="G50" s="449" t="s">
        <v>2230</v>
      </c>
    </row>
    <row r="51" ht="16.5" customHeight="1" spans="1:7">
      <c r="A51" s="427" t="s">
        <v>2231</v>
      </c>
      <c r="B51" s="403" t="s">
        <v>2232</v>
      </c>
      <c r="C51" s="430">
        <f>ROUND(C49*F50,0)</f>
        <v>111</v>
      </c>
      <c r="D51" s="430"/>
      <c r="E51" s="430"/>
      <c r="F51" s="468"/>
      <c r="G51" s="435" t="s">
        <v>2233</v>
      </c>
    </row>
    <row r="52" s="383" customFormat="1" ht="16.5" spans="1:7">
      <c r="A52" s="469" t="s">
        <v>2234</v>
      </c>
      <c r="B52" s="470"/>
      <c r="C52" s="471">
        <f>C31+C51</f>
        <v>30026</v>
      </c>
      <c r="D52" s="470"/>
      <c r="E52" s="470"/>
      <c r="F52" s="470"/>
      <c r="G52" s="472"/>
    </row>
    <row r="55" ht="15" spans="2:3">
      <c r="B55" s="473" t="s">
        <v>2235</v>
      </c>
      <c r="C55" s="474"/>
    </row>
    <row r="56" spans="2:3">
      <c r="B56" s="475" t="s">
        <v>2236</v>
      </c>
      <c r="C56" s="476">
        <f>ROUND(C51/C52,3)</f>
        <v>0.004</v>
      </c>
    </row>
    <row r="57" spans="2:3">
      <c r="B57" s="475" t="s">
        <v>2237</v>
      </c>
      <c r="C57" s="477">
        <f>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39" sqref="F39:F48"/>
    </sheetView>
  </sheetViews>
  <sheetFormatPr defaultColWidth="8.875" defaultRowHeight="11.25"/>
  <cols>
    <col min="1" max="1" width="9.625" style="349" customWidth="1"/>
    <col min="2" max="2" width="18.625" style="349" customWidth="1"/>
    <col min="3" max="6" width="10.25" style="349" customWidth="1"/>
    <col min="7" max="7" width="10.5" style="349" customWidth="1"/>
    <col min="8" max="8" width="8.875" style="348"/>
    <col min="9" max="9" width="13.375" style="348" customWidth="1"/>
    <col min="10" max="13" width="13.375" style="349" customWidth="1"/>
    <col min="14" max="14" width="18.25" style="349" customWidth="1"/>
    <col min="15" max="17" width="15.125" style="349" customWidth="1"/>
    <col min="18" max="20" width="11.5" style="349" customWidth="1"/>
    <col min="21" max="16384" width="8.875" style="349"/>
  </cols>
  <sheetData>
    <row r="1" ht="12" spans="1:20">
      <c r="A1" s="350" t="s">
        <v>2238</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2" spans="1:20">
      <c r="A2" s="352" t="s">
        <v>2239</v>
      </c>
      <c r="B2" s="352"/>
      <c r="C2" s="352"/>
      <c r="D2" s="352"/>
      <c r="E2" s="352"/>
      <c r="F2" s="352"/>
      <c r="G2" s="353" t="s">
        <v>2240</v>
      </c>
      <c r="I2" s="362" t="s">
        <v>2241</v>
      </c>
      <c r="J2" s="362" t="s">
        <v>2242</v>
      </c>
      <c r="K2" s="362" t="s">
        <v>2243</v>
      </c>
      <c r="L2" s="362" t="s">
        <v>2244</v>
      </c>
      <c r="M2" s="362" t="s">
        <v>2245</v>
      </c>
      <c r="N2" s="362" t="s">
        <v>2246</v>
      </c>
      <c r="O2" s="362" t="s">
        <v>2247</v>
      </c>
      <c r="P2" s="362" t="s">
        <v>2248</v>
      </c>
      <c r="Q2" s="362" t="s">
        <v>2249</v>
      </c>
      <c r="R2" s="362" t="s">
        <v>2250</v>
      </c>
      <c r="S2" s="362" t="s">
        <v>2251</v>
      </c>
      <c r="T2" s="362" t="s">
        <v>2252</v>
      </c>
    </row>
    <row r="3" s="347" customFormat="1" spans="1:20">
      <c r="A3" s="354" t="s">
        <v>2253</v>
      </c>
      <c r="B3" s="355"/>
      <c r="C3" s="356" t="s">
        <v>1914</v>
      </c>
      <c r="D3" s="356" t="s">
        <v>1915</v>
      </c>
      <c r="E3" s="356" t="s">
        <v>412</v>
      </c>
      <c r="F3" s="356" t="s">
        <v>408</v>
      </c>
      <c r="G3" s="356" t="s">
        <v>280</v>
      </c>
      <c r="H3" s="357"/>
      <c r="I3" s="363" t="s">
        <v>2254</v>
      </c>
      <c r="J3" s="364" t="s">
        <v>2255</v>
      </c>
      <c r="K3" s="364" t="s">
        <v>2256</v>
      </c>
      <c r="L3" s="363" t="s">
        <v>2257</v>
      </c>
      <c r="M3" s="363" t="s">
        <v>2258</v>
      </c>
      <c r="N3" s="363" t="s">
        <v>2259</v>
      </c>
      <c r="O3" s="363" t="s">
        <v>2260</v>
      </c>
      <c r="P3" s="363" t="s">
        <v>2261</v>
      </c>
      <c r="Q3" s="363" t="s">
        <v>2262</v>
      </c>
      <c r="R3" s="363" t="s">
        <v>2263</v>
      </c>
      <c r="S3" s="363" t="s">
        <v>2264</v>
      </c>
      <c r="T3" s="363" t="s">
        <v>2265</v>
      </c>
    </row>
    <row r="4" s="347" customFormat="1" ht="12" spans="1:20">
      <c r="A4" s="358"/>
      <c r="B4" s="359" t="s">
        <v>2266</v>
      </c>
      <c r="C4" s="359" t="s">
        <v>2267</v>
      </c>
      <c r="D4" s="359" t="s">
        <v>2267</v>
      </c>
      <c r="E4" s="359" t="s">
        <v>2267</v>
      </c>
      <c r="F4" s="360" t="s">
        <v>2267</v>
      </c>
      <c r="G4" s="360" t="s">
        <v>2267</v>
      </c>
      <c r="H4" s="357"/>
      <c r="I4" s="364" t="s">
        <v>2268</v>
      </c>
      <c r="J4" s="364" t="s">
        <v>2269</v>
      </c>
      <c r="K4" s="364" t="s">
        <v>2270</v>
      </c>
      <c r="L4" s="363" t="s">
        <v>2271</v>
      </c>
      <c r="M4" s="363" t="s">
        <v>2272</v>
      </c>
      <c r="N4" s="363" t="s">
        <v>2273</v>
      </c>
      <c r="O4" s="363" t="s">
        <v>2274</v>
      </c>
      <c r="P4" s="363" t="s">
        <v>2275</v>
      </c>
      <c r="Q4" s="363" t="s">
        <v>2276</v>
      </c>
      <c r="R4" s="363" t="s">
        <v>2277</v>
      </c>
      <c r="S4" s="363" t="s">
        <v>2278</v>
      </c>
      <c r="T4" s="363" t="s">
        <v>2279</v>
      </c>
    </row>
    <row r="5" spans="1:20">
      <c r="A5" s="361" t="s">
        <v>230</v>
      </c>
      <c r="B5" s="362" t="s">
        <v>2241</v>
      </c>
      <c r="C5" s="362">
        <v>34550</v>
      </c>
      <c r="D5" s="362">
        <v>34470</v>
      </c>
      <c r="E5" s="362">
        <v>34330</v>
      </c>
      <c r="F5" s="362">
        <v>13400</v>
      </c>
      <c r="G5" s="362">
        <v>25450</v>
      </c>
      <c r="H5" s="357"/>
      <c r="I5" s="363" t="s">
        <v>2280</v>
      </c>
      <c r="J5" s="364" t="s">
        <v>2281</v>
      </c>
      <c r="K5" s="364" t="s">
        <v>2282</v>
      </c>
      <c r="L5" s="363" t="s">
        <v>2283</v>
      </c>
      <c r="M5" s="363" t="s">
        <v>2284</v>
      </c>
      <c r="N5" s="363" t="s">
        <v>2285</v>
      </c>
      <c r="O5" s="363" t="s">
        <v>2286</v>
      </c>
      <c r="P5" s="363" t="s">
        <v>2287</v>
      </c>
      <c r="Q5" s="363" t="s">
        <v>2288</v>
      </c>
      <c r="R5" s="363" t="s">
        <v>2289</v>
      </c>
      <c r="S5" s="363" t="s">
        <v>2290</v>
      </c>
      <c r="T5" s="363" t="s">
        <v>2291</v>
      </c>
    </row>
    <row r="6" ht="12" spans="1:20">
      <c r="A6" s="363" t="s">
        <v>230</v>
      </c>
      <c r="B6" s="363" t="s">
        <v>2254</v>
      </c>
      <c r="C6" s="363">
        <v>36990</v>
      </c>
      <c r="D6" s="363">
        <v>36850</v>
      </c>
      <c r="E6" s="363">
        <v>36700</v>
      </c>
      <c r="F6" s="363">
        <v>14590</v>
      </c>
      <c r="G6" s="363">
        <v>27450</v>
      </c>
      <c r="H6" s="357"/>
      <c r="I6" s="366" t="s">
        <v>2292</v>
      </c>
      <c r="J6" s="364" t="s">
        <v>2293</v>
      </c>
      <c r="K6" s="364" t="s">
        <v>2294</v>
      </c>
      <c r="L6" s="363" t="s">
        <v>2295</v>
      </c>
      <c r="M6" s="363" t="s">
        <v>2296</v>
      </c>
      <c r="N6" s="363" t="s">
        <v>2297</v>
      </c>
      <c r="O6" s="363" t="s">
        <v>2298</v>
      </c>
      <c r="P6" s="363" t="s">
        <v>2299</v>
      </c>
      <c r="Q6" s="363" t="s">
        <v>2300</v>
      </c>
      <c r="R6" s="363" t="s">
        <v>2301</v>
      </c>
      <c r="S6" s="363" t="s">
        <v>2302</v>
      </c>
      <c r="T6" s="363" t="s">
        <v>2303</v>
      </c>
    </row>
    <row r="7" spans="1:20">
      <c r="A7" s="363" t="s">
        <v>230</v>
      </c>
      <c r="B7" s="364" t="s">
        <v>2268</v>
      </c>
      <c r="C7" s="363">
        <v>34850</v>
      </c>
      <c r="D7" s="363">
        <v>34690</v>
      </c>
      <c r="E7" s="363">
        <v>34550</v>
      </c>
      <c r="F7" s="363">
        <v>14360</v>
      </c>
      <c r="G7" s="363">
        <v>25620</v>
      </c>
      <c r="H7" s="357"/>
      <c r="J7" s="364" t="s">
        <v>2304</v>
      </c>
      <c r="K7" s="364" t="s">
        <v>2305</v>
      </c>
      <c r="L7" s="363" t="s">
        <v>2306</v>
      </c>
      <c r="M7" s="363" t="s">
        <v>2307</v>
      </c>
      <c r="N7" s="363" t="s">
        <v>2308</v>
      </c>
      <c r="O7" s="363" t="s">
        <v>2309</v>
      </c>
      <c r="P7" s="363" t="s">
        <v>2310</v>
      </c>
      <c r="Q7" s="363" t="s">
        <v>2311</v>
      </c>
      <c r="R7" s="363" t="s">
        <v>2312</v>
      </c>
      <c r="S7" s="363" t="s">
        <v>2313</v>
      </c>
      <c r="T7" s="363" t="s">
        <v>2314</v>
      </c>
    </row>
    <row r="8" ht="12" spans="1:20">
      <c r="A8" s="363" t="s">
        <v>230</v>
      </c>
      <c r="B8" s="363" t="s">
        <v>2280</v>
      </c>
      <c r="C8" s="363">
        <v>32630</v>
      </c>
      <c r="D8" s="363">
        <v>32510</v>
      </c>
      <c r="E8" s="363">
        <v>32420</v>
      </c>
      <c r="F8" s="363">
        <v>13300</v>
      </c>
      <c r="G8" s="363">
        <v>24010</v>
      </c>
      <c r="H8" s="357"/>
      <c r="J8" s="364" t="s">
        <v>2315</v>
      </c>
      <c r="K8" s="364" t="s">
        <v>2316</v>
      </c>
      <c r="L8" s="363" t="s">
        <v>2317</v>
      </c>
      <c r="M8" s="363" t="s">
        <v>2318</v>
      </c>
      <c r="N8" s="363" t="s">
        <v>2319</v>
      </c>
      <c r="O8" s="363" t="s">
        <v>2320</v>
      </c>
      <c r="P8" s="363" t="s">
        <v>2321</v>
      </c>
      <c r="Q8" s="363" t="s">
        <v>2322</v>
      </c>
      <c r="R8" s="363" t="s">
        <v>2323</v>
      </c>
      <c r="S8" s="363" t="s">
        <v>2324</v>
      </c>
      <c r="T8" s="367" t="s">
        <v>2325</v>
      </c>
    </row>
    <row r="9" ht="12" spans="1:19">
      <c r="A9" s="365" t="s">
        <v>230</v>
      </c>
      <c r="B9" s="366" t="s">
        <v>2292</v>
      </c>
      <c r="C9" s="367">
        <v>36370</v>
      </c>
      <c r="D9" s="367">
        <v>36210</v>
      </c>
      <c r="E9" s="367">
        <v>36050</v>
      </c>
      <c r="F9" s="367"/>
      <c r="G9" s="367">
        <v>26740</v>
      </c>
      <c r="H9" s="357"/>
      <c r="J9" s="364" t="s">
        <v>2326</v>
      </c>
      <c r="K9" s="364" t="s">
        <v>2327</v>
      </c>
      <c r="L9" s="363" t="s">
        <v>2328</v>
      </c>
      <c r="M9" s="363" t="s">
        <v>2329</v>
      </c>
      <c r="N9" s="363" t="s">
        <v>2330</v>
      </c>
      <c r="O9" s="363" t="s">
        <v>2331</v>
      </c>
      <c r="P9" s="363" t="s">
        <v>2332</v>
      </c>
      <c r="Q9" s="363" t="s">
        <v>2333</v>
      </c>
      <c r="R9" s="363" t="s">
        <v>2334</v>
      </c>
      <c r="S9" s="363" t="s">
        <v>2335</v>
      </c>
    </row>
    <row r="10" spans="1:19">
      <c r="A10" s="361" t="s">
        <v>241</v>
      </c>
      <c r="B10" s="362" t="s">
        <v>2242</v>
      </c>
      <c r="C10" s="363">
        <v>32350</v>
      </c>
      <c r="D10" s="363">
        <v>31430</v>
      </c>
      <c r="E10" s="363">
        <v>31320</v>
      </c>
      <c r="F10" s="363">
        <v>10850</v>
      </c>
      <c r="G10" s="363">
        <v>22860</v>
      </c>
      <c r="H10" s="357"/>
      <c r="J10" s="364" t="s">
        <v>2336</v>
      </c>
      <c r="K10" s="364" t="s">
        <v>2337</v>
      </c>
      <c r="L10" s="363" t="s">
        <v>2338</v>
      </c>
      <c r="M10" s="363" t="s">
        <v>2339</v>
      </c>
      <c r="N10" s="363" t="s">
        <v>2340</v>
      </c>
      <c r="O10" s="363" t="s">
        <v>2341</v>
      </c>
      <c r="P10" s="363" t="s">
        <v>2342</v>
      </c>
      <c r="Q10" s="363" t="s">
        <v>2343</v>
      </c>
      <c r="R10" s="363" t="s">
        <v>2344</v>
      </c>
      <c r="S10" s="363" t="s">
        <v>2345</v>
      </c>
    </row>
    <row r="11" spans="1:19">
      <c r="A11" s="363" t="s">
        <v>241</v>
      </c>
      <c r="B11" s="364" t="s">
        <v>2255</v>
      </c>
      <c r="C11" s="363">
        <v>31590</v>
      </c>
      <c r="D11" s="363">
        <v>29490</v>
      </c>
      <c r="E11" s="363">
        <v>28700</v>
      </c>
      <c r="F11" s="363">
        <v>10410</v>
      </c>
      <c r="G11" s="363">
        <v>21460</v>
      </c>
      <c r="H11" s="357"/>
      <c r="J11" s="364" t="s">
        <v>2346</v>
      </c>
      <c r="K11" s="364" t="s">
        <v>2347</v>
      </c>
      <c r="L11" s="363" t="s">
        <v>2348</v>
      </c>
      <c r="M11" s="363" t="s">
        <v>2349</v>
      </c>
      <c r="N11" s="363" t="s">
        <v>2350</v>
      </c>
      <c r="O11" s="363" t="s">
        <v>2351</v>
      </c>
      <c r="P11" s="363" t="s">
        <v>2352</v>
      </c>
      <c r="Q11" s="363" t="s">
        <v>2353</v>
      </c>
      <c r="R11" s="363" t="s">
        <v>2354</v>
      </c>
      <c r="S11" s="363" t="s">
        <v>2355</v>
      </c>
    </row>
    <row r="12" spans="1:19">
      <c r="A12" s="363" t="s">
        <v>241</v>
      </c>
      <c r="B12" s="364" t="s">
        <v>2269</v>
      </c>
      <c r="C12" s="363">
        <v>29640</v>
      </c>
      <c r="D12" s="363">
        <v>27550</v>
      </c>
      <c r="E12" s="363">
        <v>28010</v>
      </c>
      <c r="F12" s="363">
        <v>8730</v>
      </c>
      <c r="G12" s="363">
        <v>20050</v>
      </c>
      <c r="H12" s="357"/>
      <c r="J12" s="364" t="s">
        <v>2356</v>
      </c>
      <c r="K12" s="364" t="s">
        <v>2357</v>
      </c>
      <c r="L12" s="363" t="s">
        <v>2358</v>
      </c>
      <c r="M12" s="363" t="s">
        <v>2359</v>
      </c>
      <c r="N12" s="363" t="s">
        <v>2360</v>
      </c>
      <c r="O12" s="363" t="s">
        <v>2361</v>
      </c>
      <c r="P12" s="363" t="s">
        <v>2362</v>
      </c>
      <c r="Q12" s="363" t="s">
        <v>2363</v>
      </c>
      <c r="R12" s="363" t="s">
        <v>2364</v>
      </c>
      <c r="S12" s="363" t="s">
        <v>2365</v>
      </c>
    </row>
    <row r="13" spans="1:19">
      <c r="A13" s="363" t="s">
        <v>241</v>
      </c>
      <c r="B13" s="364" t="s">
        <v>2281</v>
      </c>
      <c r="C13" s="363">
        <v>29680</v>
      </c>
      <c r="D13" s="363">
        <v>27660</v>
      </c>
      <c r="E13" s="363">
        <v>28210</v>
      </c>
      <c r="F13" s="363">
        <v>9590</v>
      </c>
      <c r="G13" s="363">
        <v>20120</v>
      </c>
      <c r="H13" s="357"/>
      <c r="J13" s="364" t="s">
        <v>2366</v>
      </c>
      <c r="K13" s="364" t="s">
        <v>2367</v>
      </c>
      <c r="L13" s="363" t="s">
        <v>2368</v>
      </c>
      <c r="M13" s="363" t="s">
        <v>2369</v>
      </c>
      <c r="N13" s="363" t="s">
        <v>2370</v>
      </c>
      <c r="O13" s="363" t="s">
        <v>2371</v>
      </c>
      <c r="P13" s="363" t="s">
        <v>2372</v>
      </c>
      <c r="Q13" s="363" t="s">
        <v>2373</v>
      </c>
      <c r="R13" s="363" t="s">
        <v>2374</v>
      </c>
      <c r="S13" s="363" t="s">
        <v>2375</v>
      </c>
    </row>
    <row r="14" spans="1:19">
      <c r="A14" s="363" t="s">
        <v>241</v>
      </c>
      <c r="B14" s="364" t="s">
        <v>2293</v>
      </c>
      <c r="C14" s="363">
        <v>30520</v>
      </c>
      <c r="D14" s="363">
        <v>29510</v>
      </c>
      <c r="E14" s="363">
        <v>29400</v>
      </c>
      <c r="F14" s="363">
        <v>9630</v>
      </c>
      <c r="G14" s="363">
        <v>21480</v>
      </c>
      <c r="H14" s="357"/>
      <c r="J14" s="364" t="s">
        <v>2376</v>
      </c>
      <c r="K14" s="364" t="s">
        <v>2377</v>
      </c>
      <c r="L14" s="363" t="s">
        <v>2378</v>
      </c>
      <c r="M14" s="363" t="s">
        <v>2379</v>
      </c>
      <c r="N14" s="363" t="s">
        <v>2380</v>
      </c>
      <c r="O14" s="363" t="s">
        <v>2381</v>
      </c>
      <c r="P14" s="363" t="s">
        <v>2382</v>
      </c>
      <c r="Q14" s="363" t="s">
        <v>2383</v>
      </c>
      <c r="R14" s="363" t="s">
        <v>2384</v>
      </c>
      <c r="S14" s="363" t="s">
        <v>2385</v>
      </c>
    </row>
    <row r="15" spans="1:19">
      <c r="A15" s="363" t="s">
        <v>241</v>
      </c>
      <c r="B15" s="364" t="s">
        <v>2304</v>
      </c>
      <c r="C15" s="363">
        <v>29090</v>
      </c>
      <c r="D15" s="363">
        <v>27590</v>
      </c>
      <c r="E15" s="363">
        <v>28120</v>
      </c>
      <c r="F15" s="363">
        <v>9110</v>
      </c>
      <c r="G15" s="363">
        <v>20070</v>
      </c>
      <c r="H15" s="357"/>
      <c r="J15" s="364" t="s">
        <v>2386</v>
      </c>
      <c r="K15" s="364" t="s">
        <v>2387</v>
      </c>
      <c r="L15" s="363" t="s">
        <v>2388</v>
      </c>
      <c r="M15" s="363" t="s">
        <v>2389</v>
      </c>
      <c r="N15" s="363" t="s">
        <v>2390</v>
      </c>
      <c r="O15" s="363" t="s">
        <v>2391</v>
      </c>
      <c r="P15" s="363" t="s">
        <v>2392</v>
      </c>
      <c r="Q15" s="363" t="s">
        <v>2393</v>
      </c>
      <c r="R15" s="363" t="s">
        <v>2394</v>
      </c>
      <c r="S15" s="363" t="s">
        <v>2395</v>
      </c>
    </row>
    <row r="16" spans="1:19">
      <c r="A16" s="363" t="s">
        <v>241</v>
      </c>
      <c r="B16" s="364" t="s">
        <v>2315</v>
      </c>
      <c r="C16" s="363">
        <v>26790</v>
      </c>
      <c r="D16" s="363">
        <v>30370</v>
      </c>
      <c r="E16" s="363">
        <v>30240</v>
      </c>
      <c r="F16" s="363">
        <v>11590</v>
      </c>
      <c r="G16" s="363">
        <v>22090</v>
      </c>
      <c r="H16" s="357"/>
      <c r="J16" s="364" t="s">
        <v>2396</v>
      </c>
      <c r="K16" s="364" t="s">
        <v>2397</v>
      </c>
      <c r="L16" s="363" t="s">
        <v>2398</v>
      </c>
      <c r="M16" s="363" t="s">
        <v>2399</v>
      </c>
      <c r="N16" s="363" t="s">
        <v>2400</v>
      </c>
      <c r="O16" s="363" t="s">
        <v>2401</v>
      </c>
      <c r="P16" s="363" t="s">
        <v>2402</v>
      </c>
      <c r="Q16" s="363" t="s">
        <v>2403</v>
      </c>
      <c r="R16" s="363" t="s">
        <v>2404</v>
      </c>
      <c r="S16" s="363" t="s">
        <v>2405</v>
      </c>
    </row>
    <row r="17" ht="14.25" customHeight="1" spans="1:19">
      <c r="A17" s="363" t="s">
        <v>241</v>
      </c>
      <c r="B17" s="364" t="s">
        <v>2326</v>
      </c>
      <c r="C17" s="363">
        <v>29180</v>
      </c>
      <c r="D17" s="363">
        <v>27620</v>
      </c>
      <c r="E17" s="363">
        <v>28180</v>
      </c>
      <c r="F17" s="363">
        <v>10790</v>
      </c>
      <c r="G17" s="363">
        <v>20090</v>
      </c>
      <c r="H17" s="357"/>
      <c r="J17" s="364" t="s">
        <v>2406</v>
      </c>
      <c r="K17" s="364" t="s">
        <v>2407</v>
      </c>
      <c r="L17" s="363" t="s">
        <v>2408</v>
      </c>
      <c r="M17" s="363" t="s">
        <v>2409</v>
      </c>
      <c r="N17" s="363" t="s">
        <v>2410</v>
      </c>
      <c r="O17" s="363" t="s">
        <v>2411</v>
      </c>
      <c r="P17" s="363" t="s">
        <v>2412</v>
      </c>
      <c r="Q17" s="363" t="s">
        <v>2413</v>
      </c>
      <c r="R17" s="363" t="s">
        <v>2414</v>
      </c>
      <c r="S17" s="363" t="s">
        <v>2415</v>
      </c>
    </row>
    <row r="18" ht="14.25" customHeight="1" spans="1:19">
      <c r="A18" s="363" t="s">
        <v>241</v>
      </c>
      <c r="B18" s="364" t="s">
        <v>2336</v>
      </c>
      <c r="C18" s="363">
        <v>26840</v>
      </c>
      <c r="D18" s="363">
        <v>28930</v>
      </c>
      <c r="E18" s="363">
        <v>28820</v>
      </c>
      <c r="F18" s="363"/>
      <c r="G18" s="363">
        <v>21050</v>
      </c>
      <c r="H18" s="357"/>
      <c r="J18" s="364" t="s">
        <v>2416</v>
      </c>
      <c r="K18" s="364" t="s">
        <v>2417</v>
      </c>
      <c r="L18" s="363" t="s">
        <v>2418</v>
      </c>
      <c r="M18" s="363" t="s">
        <v>2419</v>
      </c>
      <c r="N18" s="363" t="s">
        <v>2420</v>
      </c>
      <c r="O18" s="363" t="s">
        <v>2421</v>
      </c>
      <c r="P18" s="363" t="s">
        <v>2422</v>
      </c>
      <c r="Q18" s="363" t="s">
        <v>2423</v>
      </c>
      <c r="R18" s="363" t="s">
        <v>2424</v>
      </c>
      <c r="S18" s="363" t="s">
        <v>2425</v>
      </c>
    </row>
    <row r="19" ht="14.25" customHeight="1" spans="1:19">
      <c r="A19" s="363" t="s">
        <v>241</v>
      </c>
      <c r="B19" s="364" t="s">
        <v>2346</v>
      </c>
      <c r="C19" s="363">
        <v>27750</v>
      </c>
      <c r="D19" s="363">
        <v>26680</v>
      </c>
      <c r="E19" s="363">
        <v>26590</v>
      </c>
      <c r="F19" s="363"/>
      <c r="G19" s="363">
        <v>19420</v>
      </c>
      <c r="H19" s="357"/>
      <c r="J19" s="364" t="s">
        <v>2426</v>
      </c>
      <c r="K19" s="364" t="s">
        <v>2427</v>
      </c>
      <c r="L19" s="363" t="s">
        <v>2428</v>
      </c>
      <c r="M19" s="363" t="s">
        <v>2429</v>
      </c>
      <c r="N19" s="363" t="s">
        <v>2430</v>
      </c>
      <c r="O19" s="363" t="s">
        <v>2431</v>
      </c>
      <c r="P19" s="363" t="s">
        <v>2432</v>
      </c>
      <c r="Q19" s="363" t="s">
        <v>2433</v>
      </c>
      <c r="R19" s="363" t="s">
        <v>2434</v>
      </c>
      <c r="S19" s="363" t="s">
        <v>2435</v>
      </c>
    </row>
    <row r="20" ht="14.25" customHeight="1" spans="1:19">
      <c r="A20" s="363" t="s">
        <v>241</v>
      </c>
      <c r="B20" s="364" t="s">
        <v>2356</v>
      </c>
      <c r="C20" s="363">
        <v>27050</v>
      </c>
      <c r="D20" s="363">
        <v>29010</v>
      </c>
      <c r="E20" s="363">
        <v>28910</v>
      </c>
      <c r="F20" s="363"/>
      <c r="G20" s="363">
        <v>21110</v>
      </c>
      <c r="J20" s="364" t="s">
        <v>2436</v>
      </c>
      <c r="K20" s="364" t="s">
        <v>2437</v>
      </c>
      <c r="L20" s="363" t="s">
        <v>2438</v>
      </c>
      <c r="M20" s="363" t="s">
        <v>2439</v>
      </c>
      <c r="N20" s="363" t="s">
        <v>2440</v>
      </c>
      <c r="O20" s="363" t="s">
        <v>2441</v>
      </c>
      <c r="P20" s="363" t="s">
        <v>2442</v>
      </c>
      <c r="Q20" s="363" t="s">
        <v>2443</v>
      </c>
      <c r="R20" s="363" t="s">
        <v>2444</v>
      </c>
      <c r="S20" s="363" t="s">
        <v>2445</v>
      </c>
    </row>
    <row r="21" ht="14.25" customHeight="1" spans="1:19">
      <c r="A21" s="363" t="s">
        <v>241</v>
      </c>
      <c r="B21" s="364" t="s">
        <v>2366</v>
      </c>
      <c r="C21" s="363">
        <v>32370</v>
      </c>
      <c r="D21" s="363">
        <v>26730</v>
      </c>
      <c r="E21" s="363">
        <v>26640</v>
      </c>
      <c r="F21" s="363"/>
      <c r="G21" s="363">
        <v>19440</v>
      </c>
      <c r="J21" s="367" t="s">
        <v>2446</v>
      </c>
      <c r="K21" s="364" t="s">
        <v>2447</v>
      </c>
      <c r="L21" s="363" t="s">
        <v>2448</v>
      </c>
      <c r="M21" s="363" t="s">
        <v>2449</v>
      </c>
      <c r="N21" s="363" t="s">
        <v>2450</v>
      </c>
      <c r="O21" s="363" t="s">
        <v>2451</v>
      </c>
      <c r="P21" s="363" t="s">
        <v>2452</v>
      </c>
      <c r="Q21" s="363" t="s">
        <v>2453</v>
      </c>
      <c r="R21" s="363" t="s">
        <v>2454</v>
      </c>
      <c r="S21" s="367" t="s">
        <v>2455</v>
      </c>
    </row>
    <row r="22" ht="14.25" customHeight="1" spans="1:18">
      <c r="A22" s="363" t="s">
        <v>241</v>
      </c>
      <c r="B22" s="364" t="s">
        <v>2376</v>
      </c>
      <c r="C22" s="363">
        <v>29830</v>
      </c>
      <c r="D22" s="363">
        <v>27600</v>
      </c>
      <c r="E22" s="363">
        <v>28150</v>
      </c>
      <c r="F22" s="363"/>
      <c r="G22" s="363">
        <v>20080</v>
      </c>
      <c r="K22" s="364" t="s">
        <v>2456</v>
      </c>
      <c r="L22" s="363" t="s">
        <v>2457</v>
      </c>
      <c r="M22" s="363" t="s">
        <v>2458</v>
      </c>
      <c r="N22" s="363" t="s">
        <v>2459</v>
      </c>
      <c r="O22" s="363" t="s">
        <v>2460</v>
      </c>
      <c r="P22" s="363" t="s">
        <v>2461</v>
      </c>
      <c r="Q22" s="363" t="s">
        <v>2462</v>
      </c>
      <c r="R22" s="363" t="s">
        <v>2463</v>
      </c>
    </row>
    <row r="23" ht="14.25" customHeight="1" spans="1:18">
      <c r="A23" s="363" t="s">
        <v>241</v>
      </c>
      <c r="B23" s="364" t="s">
        <v>2386</v>
      </c>
      <c r="C23" s="363">
        <v>27800</v>
      </c>
      <c r="D23" s="363">
        <v>26900</v>
      </c>
      <c r="E23" s="363">
        <v>27170</v>
      </c>
      <c r="F23" s="363"/>
      <c r="G23" s="363">
        <v>19570</v>
      </c>
      <c r="K23" s="364" t="s">
        <v>2464</v>
      </c>
      <c r="L23" s="363" t="s">
        <v>2465</v>
      </c>
      <c r="M23" s="363" t="s">
        <v>2466</v>
      </c>
      <c r="N23" s="363" t="s">
        <v>2467</v>
      </c>
      <c r="O23" s="363" t="s">
        <v>2468</v>
      </c>
      <c r="P23" s="363" t="s">
        <v>2469</v>
      </c>
      <c r="Q23" s="363" t="s">
        <v>2470</v>
      </c>
      <c r="R23" s="363" t="s">
        <v>2471</v>
      </c>
    </row>
    <row r="24" ht="14.25" customHeight="1" spans="1:18">
      <c r="A24" s="363" t="s">
        <v>241</v>
      </c>
      <c r="B24" s="364" t="s">
        <v>2396</v>
      </c>
      <c r="C24" s="363">
        <v>27930</v>
      </c>
      <c r="D24" s="363">
        <v>32260</v>
      </c>
      <c r="E24" s="363">
        <v>32120</v>
      </c>
      <c r="F24" s="363"/>
      <c r="G24" s="363">
        <v>23470</v>
      </c>
      <c r="K24" s="364" t="s">
        <v>2472</v>
      </c>
      <c r="L24" s="363" t="s">
        <v>2473</v>
      </c>
      <c r="M24" s="363" t="s">
        <v>2474</v>
      </c>
      <c r="N24" s="363" t="s">
        <v>2475</v>
      </c>
      <c r="O24" s="363" t="s">
        <v>2476</v>
      </c>
      <c r="P24" s="363" t="s">
        <v>2477</v>
      </c>
      <c r="Q24" s="377" t="s">
        <v>2478</v>
      </c>
      <c r="R24" s="363" t="s">
        <v>2479</v>
      </c>
    </row>
    <row r="25" ht="14.25" customHeight="1" spans="1:18">
      <c r="A25" s="363" t="s">
        <v>241</v>
      </c>
      <c r="B25" s="364" t="s">
        <v>2406</v>
      </c>
      <c r="C25" s="363">
        <v>32230</v>
      </c>
      <c r="D25" s="363">
        <v>29640</v>
      </c>
      <c r="E25" s="363">
        <v>29510</v>
      </c>
      <c r="F25" s="363"/>
      <c r="G25" s="363">
        <v>21560</v>
      </c>
      <c r="K25" s="364" t="s">
        <v>2480</v>
      </c>
      <c r="L25" s="363" t="s">
        <v>2481</v>
      </c>
      <c r="M25" s="363" t="s">
        <v>2482</v>
      </c>
      <c r="N25" s="363" t="s">
        <v>2483</v>
      </c>
      <c r="O25" s="363" t="s">
        <v>2484</v>
      </c>
      <c r="P25" s="363" t="s">
        <v>2485</v>
      </c>
      <c r="Q25" s="377" t="s">
        <v>2486</v>
      </c>
      <c r="R25" s="363" t="s">
        <v>2487</v>
      </c>
    </row>
    <row r="26" ht="14.25" customHeight="1" spans="1:18">
      <c r="A26" s="363" t="s">
        <v>241</v>
      </c>
      <c r="B26" s="364" t="s">
        <v>2416</v>
      </c>
      <c r="C26" s="363">
        <v>31690</v>
      </c>
      <c r="D26" s="363">
        <v>27650</v>
      </c>
      <c r="E26" s="363">
        <v>28200</v>
      </c>
      <c r="F26" s="363"/>
      <c r="G26" s="363">
        <v>20110</v>
      </c>
      <c r="K26" s="366" t="s">
        <v>2488</v>
      </c>
      <c r="L26" s="363" t="s">
        <v>2489</v>
      </c>
      <c r="M26" s="363" t="s">
        <v>2490</v>
      </c>
      <c r="N26" s="363" t="s">
        <v>2491</v>
      </c>
      <c r="O26" s="363" t="s">
        <v>2492</v>
      </c>
      <c r="P26" s="363" t="s">
        <v>2493</v>
      </c>
      <c r="Q26" s="377" t="s">
        <v>2494</v>
      </c>
      <c r="R26" s="363" t="s">
        <v>2495</v>
      </c>
    </row>
    <row r="27" ht="14.25" customHeight="1" spans="1:18">
      <c r="A27" s="363" t="s">
        <v>241</v>
      </c>
      <c r="B27" s="364" t="s">
        <v>2426</v>
      </c>
      <c r="C27" s="363">
        <v>29610</v>
      </c>
      <c r="D27" s="363">
        <v>27770</v>
      </c>
      <c r="E27" s="363">
        <v>28300</v>
      </c>
      <c r="F27" s="363"/>
      <c r="G27" s="363">
        <v>20210</v>
      </c>
      <c r="L27" s="363" t="s">
        <v>2496</v>
      </c>
      <c r="M27" s="363" t="s">
        <v>2497</v>
      </c>
      <c r="N27" s="363" t="s">
        <v>2498</v>
      </c>
      <c r="O27" s="363" t="s">
        <v>2499</v>
      </c>
      <c r="P27" s="363" t="s">
        <v>2500</v>
      </c>
      <c r="Q27" s="363" t="s">
        <v>2501</v>
      </c>
      <c r="R27" s="363" t="s">
        <v>2502</v>
      </c>
    </row>
    <row r="28" ht="14.25" customHeight="1" spans="1:18">
      <c r="A28" s="363" t="s">
        <v>241</v>
      </c>
      <c r="B28" s="364" t="s">
        <v>2436</v>
      </c>
      <c r="C28" s="363"/>
      <c r="D28" s="363">
        <v>31520</v>
      </c>
      <c r="E28" s="363">
        <v>31410</v>
      </c>
      <c r="F28" s="363"/>
      <c r="G28" s="363">
        <v>22940</v>
      </c>
      <c r="L28" s="363" t="s">
        <v>2503</v>
      </c>
      <c r="M28" s="363" t="s">
        <v>2504</v>
      </c>
      <c r="N28" s="363" t="s">
        <v>2505</v>
      </c>
      <c r="O28" s="363" t="s">
        <v>2506</v>
      </c>
      <c r="P28" s="363" t="s">
        <v>2507</v>
      </c>
      <c r="Q28" s="363" t="s">
        <v>2508</v>
      </c>
      <c r="R28" s="363" t="s">
        <v>2509</v>
      </c>
    </row>
    <row r="29" ht="14.25" customHeight="1" spans="1:18">
      <c r="A29" s="365" t="s">
        <v>241</v>
      </c>
      <c r="B29" s="368" t="s">
        <v>2446</v>
      </c>
      <c r="C29" s="369"/>
      <c r="D29" s="369">
        <v>29460</v>
      </c>
      <c r="E29" s="369">
        <v>28640</v>
      </c>
      <c r="F29" s="369"/>
      <c r="G29" s="369">
        <v>21430</v>
      </c>
      <c r="L29" s="363" t="s">
        <v>2510</v>
      </c>
      <c r="M29" s="363" t="s">
        <v>2511</v>
      </c>
      <c r="N29" s="363" t="s">
        <v>2512</v>
      </c>
      <c r="O29" s="363" t="s">
        <v>2513</v>
      </c>
      <c r="P29" s="363" t="s">
        <v>2514</v>
      </c>
      <c r="Q29" s="363" t="s">
        <v>2515</v>
      </c>
      <c r="R29" s="363" t="s">
        <v>2516</v>
      </c>
    </row>
    <row r="30" ht="14.25" customHeight="1" spans="1:18">
      <c r="A30" s="361" t="s">
        <v>251</v>
      </c>
      <c r="B30" s="362" t="s">
        <v>2243</v>
      </c>
      <c r="C30" s="362">
        <v>26890</v>
      </c>
      <c r="D30" s="362">
        <v>26770</v>
      </c>
      <c r="E30" s="362">
        <v>25700</v>
      </c>
      <c r="F30" s="362">
        <v>8180</v>
      </c>
      <c r="G30" s="370">
        <v>18740</v>
      </c>
      <c r="L30" s="363" t="s">
        <v>2517</v>
      </c>
      <c r="M30" s="363" t="s">
        <v>2518</v>
      </c>
      <c r="N30" s="363" t="s">
        <v>2519</v>
      </c>
      <c r="O30" s="363" t="s">
        <v>2520</v>
      </c>
      <c r="P30" s="363" t="s">
        <v>2521</v>
      </c>
      <c r="Q30" s="363" t="s">
        <v>2522</v>
      </c>
      <c r="R30" s="363" t="s">
        <v>2523</v>
      </c>
    </row>
    <row r="31" ht="14.25" customHeight="1" spans="1:18">
      <c r="A31" s="363" t="s">
        <v>251</v>
      </c>
      <c r="B31" s="364" t="s">
        <v>2256</v>
      </c>
      <c r="C31" s="363">
        <v>24550</v>
      </c>
      <c r="D31" s="363">
        <v>23990</v>
      </c>
      <c r="E31" s="363">
        <v>22930</v>
      </c>
      <c r="F31" s="363">
        <v>7470</v>
      </c>
      <c r="G31" s="371">
        <v>16790</v>
      </c>
      <c r="L31" s="363" t="s">
        <v>2524</v>
      </c>
      <c r="M31" s="363" t="s">
        <v>2525</v>
      </c>
      <c r="N31" s="363" t="s">
        <v>2526</v>
      </c>
      <c r="O31" s="363" t="s">
        <v>2527</v>
      </c>
      <c r="P31" s="363" t="s">
        <v>2528</v>
      </c>
      <c r="Q31" s="363" t="s">
        <v>2529</v>
      </c>
      <c r="R31" s="363" t="s">
        <v>2530</v>
      </c>
    </row>
    <row r="32" ht="14.25" customHeight="1" spans="1:18">
      <c r="A32" s="363" t="s">
        <v>251</v>
      </c>
      <c r="B32" s="364" t="s">
        <v>2270</v>
      </c>
      <c r="C32" s="363">
        <v>27210</v>
      </c>
      <c r="D32" s="363">
        <v>23240</v>
      </c>
      <c r="E32" s="363">
        <v>23260</v>
      </c>
      <c r="F32" s="363">
        <v>7130</v>
      </c>
      <c r="G32" s="371">
        <v>16270</v>
      </c>
      <c r="L32" s="363" t="s">
        <v>2531</v>
      </c>
      <c r="M32" s="363" t="s">
        <v>2532</v>
      </c>
      <c r="N32" s="363" t="s">
        <v>2533</v>
      </c>
      <c r="O32" s="363" t="s">
        <v>2534</v>
      </c>
      <c r="P32" s="363" t="s">
        <v>2535</v>
      </c>
      <c r="Q32" s="363" t="s">
        <v>2536</v>
      </c>
      <c r="R32" s="367" t="s">
        <v>2537</v>
      </c>
    </row>
    <row r="33" ht="14.25" customHeight="1" spans="1:17">
      <c r="A33" s="363" t="s">
        <v>251</v>
      </c>
      <c r="B33" s="364" t="s">
        <v>2282</v>
      </c>
      <c r="C33" s="363">
        <v>27300</v>
      </c>
      <c r="D33" s="363">
        <v>22980</v>
      </c>
      <c r="E33" s="363">
        <v>24260</v>
      </c>
      <c r="F33" s="363">
        <v>5860</v>
      </c>
      <c r="G33" s="371">
        <v>16090</v>
      </c>
      <c r="L33" s="367" t="s">
        <v>2538</v>
      </c>
      <c r="M33" s="363" t="s">
        <v>2539</v>
      </c>
      <c r="N33" s="363" t="s">
        <v>2540</v>
      </c>
      <c r="O33" s="363" t="s">
        <v>2541</v>
      </c>
      <c r="P33" s="363" t="s">
        <v>2542</v>
      </c>
      <c r="Q33" s="363" t="s">
        <v>2543</v>
      </c>
    </row>
    <row r="34" ht="14.25" customHeight="1" spans="1:17">
      <c r="A34" s="363" t="s">
        <v>251</v>
      </c>
      <c r="B34" s="364" t="s">
        <v>2294</v>
      </c>
      <c r="C34" s="363">
        <v>23090</v>
      </c>
      <c r="D34" s="363">
        <v>23390</v>
      </c>
      <c r="E34" s="363">
        <v>23510</v>
      </c>
      <c r="F34" s="363">
        <v>6700</v>
      </c>
      <c r="G34" s="371">
        <v>16370</v>
      </c>
      <c r="M34" s="363" t="s">
        <v>2544</v>
      </c>
      <c r="N34" s="363" t="s">
        <v>2545</v>
      </c>
      <c r="O34" s="363" t="s">
        <v>2546</v>
      </c>
      <c r="P34" s="363" t="s">
        <v>2547</v>
      </c>
      <c r="Q34" s="363" t="s">
        <v>2548</v>
      </c>
    </row>
    <row r="35" ht="14.25" customHeight="1" spans="1:17">
      <c r="A35" s="363" t="s">
        <v>251</v>
      </c>
      <c r="B35" s="364" t="s">
        <v>2305</v>
      </c>
      <c r="C35" s="363">
        <v>27270</v>
      </c>
      <c r="D35" s="363">
        <v>24270</v>
      </c>
      <c r="E35" s="363">
        <v>24950</v>
      </c>
      <c r="F35" s="363">
        <v>6600</v>
      </c>
      <c r="G35" s="371">
        <v>16990</v>
      </c>
      <c r="M35" s="363" t="s">
        <v>2549</v>
      </c>
      <c r="N35" s="363" t="s">
        <v>2550</v>
      </c>
      <c r="O35" s="363" t="s">
        <v>2551</v>
      </c>
      <c r="P35" s="363" t="s">
        <v>2552</v>
      </c>
      <c r="Q35" s="363" t="s">
        <v>2553</v>
      </c>
    </row>
    <row r="36" ht="14.25" customHeight="1" spans="1:17">
      <c r="A36" s="363" t="s">
        <v>251</v>
      </c>
      <c r="B36" s="364" t="s">
        <v>2316</v>
      </c>
      <c r="C36" s="363">
        <v>23490</v>
      </c>
      <c r="D36" s="363">
        <v>23020</v>
      </c>
      <c r="E36" s="363">
        <v>25230</v>
      </c>
      <c r="F36" s="363">
        <v>6780</v>
      </c>
      <c r="G36" s="371">
        <v>16120</v>
      </c>
      <c r="M36" s="363" t="s">
        <v>2554</v>
      </c>
      <c r="N36" s="363" t="s">
        <v>2555</v>
      </c>
      <c r="O36" s="363" t="s">
        <v>2556</v>
      </c>
      <c r="P36" s="363" t="s">
        <v>2557</v>
      </c>
      <c r="Q36" s="363" t="s">
        <v>2558</v>
      </c>
    </row>
    <row r="37" ht="14.25" customHeight="1" spans="1:17">
      <c r="A37" s="363" t="s">
        <v>251</v>
      </c>
      <c r="B37" s="364" t="s">
        <v>2327</v>
      </c>
      <c r="C37" s="363">
        <v>24380</v>
      </c>
      <c r="D37" s="363">
        <v>22240</v>
      </c>
      <c r="E37" s="363">
        <v>25980</v>
      </c>
      <c r="F37" s="363">
        <v>8160</v>
      </c>
      <c r="G37" s="371">
        <v>15570</v>
      </c>
      <c r="M37" s="363" t="s">
        <v>2559</v>
      </c>
      <c r="N37" s="363" t="s">
        <v>2560</v>
      </c>
      <c r="O37" s="363" t="s">
        <v>2561</v>
      </c>
      <c r="P37" s="363" t="s">
        <v>2562</v>
      </c>
      <c r="Q37" s="363" t="s">
        <v>2563</v>
      </c>
    </row>
    <row r="38" ht="14.25" customHeight="1" spans="1:17">
      <c r="A38" s="363" t="s">
        <v>251</v>
      </c>
      <c r="B38" s="364" t="s">
        <v>2337</v>
      </c>
      <c r="C38" s="363">
        <v>23120</v>
      </c>
      <c r="D38" s="363">
        <v>24630</v>
      </c>
      <c r="E38" s="363">
        <v>25030</v>
      </c>
      <c r="F38" s="363">
        <v>7710</v>
      </c>
      <c r="G38" s="371">
        <v>17240</v>
      </c>
      <c r="M38" s="363" t="s">
        <v>2564</v>
      </c>
      <c r="N38" s="363" t="s">
        <v>2565</v>
      </c>
      <c r="O38" s="363" t="s">
        <v>2566</v>
      </c>
      <c r="P38" s="363" t="s">
        <v>2567</v>
      </c>
      <c r="Q38" s="363" t="s">
        <v>2568</v>
      </c>
    </row>
    <row r="39" ht="14.25" customHeight="1" spans="1:17">
      <c r="A39" s="363" t="s">
        <v>251</v>
      </c>
      <c r="B39" s="364" t="s">
        <v>2347</v>
      </c>
      <c r="C39" s="363">
        <v>22330</v>
      </c>
      <c r="D39" s="363">
        <v>21140</v>
      </c>
      <c r="E39" s="363">
        <v>23970</v>
      </c>
      <c r="F39" s="363">
        <v>7940</v>
      </c>
      <c r="G39" s="371">
        <v>14790</v>
      </c>
      <c r="M39" s="363" t="s">
        <v>2569</v>
      </c>
      <c r="N39" s="363" t="s">
        <v>2570</v>
      </c>
      <c r="O39" s="363" t="s">
        <v>2571</v>
      </c>
      <c r="P39" s="363" t="s">
        <v>2572</v>
      </c>
      <c r="Q39" s="363" t="s">
        <v>2573</v>
      </c>
    </row>
    <row r="40" ht="14.25" customHeight="1" spans="1:17">
      <c r="A40" s="363" t="s">
        <v>251</v>
      </c>
      <c r="B40" s="364" t="s">
        <v>2357</v>
      </c>
      <c r="C40" s="363">
        <v>24740</v>
      </c>
      <c r="D40" s="363">
        <v>24690</v>
      </c>
      <c r="E40" s="363">
        <v>22610</v>
      </c>
      <c r="F40" s="363"/>
      <c r="G40" s="371">
        <v>17280</v>
      </c>
      <c r="M40" s="363" t="s">
        <v>2574</v>
      </c>
      <c r="N40" s="363" t="s">
        <v>2575</v>
      </c>
      <c r="O40" s="363" t="s">
        <v>2576</v>
      </c>
      <c r="P40" s="363" t="s">
        <v>2577</v>
      </c>
      <c r="Q40" s="363" t="s">
        <v>2578</v>
      </c>
    </row>
    <row r="41" ht="14.25" customHeight="1" spans="1:17">
      <c r="A41" s="363" t="s">
        <v>251</v>
      </c>
      <c r="B41" s="364" t="s">
        <v>2367</v>
      </c>
      <c r="C41" s="363">
        <v>21220</v>
      </c>
      <c r="D41" s="363">
        <v>21120</v>
      </c>
      <c r="E41" s="363">
        <v>22590</v>
      </c>
      <c r="F41" s="363"/>
      <c r="G41" s="371">
        <v>14780</v>
      </c>
      <c r="M41" s="367" t="s">
        <v>2579</v>
      </c>
      <c r="N41" s="363" t="s">
        <v>2580</v>
      </c>
      <c r="O41" s="363" t="s">
        <v>2581</v>
      </c>
      <c r="P41" s="363" t="s">
        <v>2582</v>
      </c>
      <c r="Q41" s="363" t="s">
        <v>2583</v>
      </c>
    </row>
    <row r="42" ht="14.25" customHeight="1" spans="1:17">
      <c r="A42" s="363" t="s">
        <v>251</v>
      </c>
      <c r="B42" s="364" t="s">
        <v>2377</v>
      </c>
      <c r="C42" s="363">
        <v>24800</v>
      </c>
      <c r="D42" s="363">
        <v>22280</v>
      </c>
      <c r="E42" s="363">
        <v>24350</v>
      </c>
      <c r="F42" s="363"/>
      <c r="G42" s="371">
        <v>15590</v>
      </c>
      <c r="N42" s="363" t="s">
        <v>2584</v>
      </c>
      <c r="O42" s="363" t="s">
        <v>2585</v>
      </c>
      <c r="P42" s="363" t="s">
        <v>2586</v>
      </c>
      <c r="Q42" s="363" t="s">
        <v>2587</v>
      </c>
    </row>
    <row r="43" ht="14.25" customHeight="1" spans="1:17">
      <c r="A43" s="363" t="s">
        <v>251</v>
      </c>
      <c r="B43" s="364" t="s">
        <v>2387</v>
      </c>
      <c r="C43" s="363">
        <v>21210</v>
      </c>
      <c r="D43" s="363">
        <v>21160</v>
      </c>
      <c r="E43" s="363">
        <v>22650</v>
      </c>
      <c r="F43" s="363"/>
      <c r="G43" s="371">
        <v>14800</v>
      </c>
      <c r="N43" s="363" t="s">
        <v>2588</v>
      </c>
      <c r="O43" s="363" t="s">
        <v>2589</v>
      </c>
      <c r="P43" s="363" t="s">
        <v>2590</v>
      </c>
      <c r="Q43" s="363" t="s">
        <v>2591</v>
      </c>
    </row>
    <row r="44" ht="14.25" customHeight="1" spans="1:17">
      <c r="A44" s="363" t="s">
        <v>251</v>
      </c>
      <c r="B44" s="364" t="s">
        <v>2397</v>
      </c>
      <c r="C44" s="363">
        <v>22370</v>
      </c>
      <c r="D44" s="363">
        <v>23140</v>
      </c>
      <c r="E44" s="363">
        <v>25090</v>
      </c>
      <c r="F44" s="363"/>
      <c r="G44" s="371">
        <v>16190</v>
      </c>
      <c r="N44" s="363" t="s">
        <v>2592</v>
      </c>
      <c r="O44" s="363" t="s">
        <v>2593</v>
      </c>
      <c r="P44" s="367" t="s">
        <v>2594</v>
      </c>
      <c r="Q44" s="363" t="s">
        <v>2595</v>
      </c>
    </row>
    <row r="45" ht="14.25" customHeight="1" spans="1:17">
      <c r="A45" s="363" t="s">
        <v>251</v>
      </c>
      <c r="B45" s="364" t="s">
        <v>2407</v>
      </c>
      <c r="C45" s="363">
        <v>21240</v>
      </c>
      <c r="D45" s="363">
        <v>27050</v>
      </c>
      <c r="E45" s="363">
        <v>28000</v>
      </c>
      <c r="F45" s="363"/>
      <c r="G45" s="371">
        <v>18940</v>
      </c>
      <c r="N45" s="363" t="s">
        <v>2596</v>
      </c>
      <c r="O45" s="367" t="s">
        <v>2597</v>
      </c>
      <c r="Q45" s="363" t="s">
        <v>2598</v>
      </c>
    </row>
    <row r="46" ht="14.25" customHeight="1" spans="1:17">
      <c r="A46" s="363" t="s">
        <v>251</v>
      </c>
      <c r="B46" s="364" t="s">
        <v>2417</v>
      </c>
      <c r="C46" s="363">
        <v>23240</v>
      </c>
      <c r="D46" s="363">
        <v>23000</v>
      </c>
      <c r="E46" s="363">
        <v>24980</v>
      </c>
      <c r="F46" s="363"/>
      <c r="G46" s="371">
        <v>16100</v>
      </c>
      <c r="N46" s="363" t="s">
        <v>2599</v>
      </c>
      <c r="Q46" s="363" t="s">
        <v>2600</v>
      </c>
    </row>
    <row r="47" ht="14.25" customHeight="1" spans="1:17">
      <c r="A47" s="363" t="s">
        <v>251</v>
      </c>
      <c r="B47" s="364" t="s">
        <v>2427</v>
      </c>
      <c r="C47" s="363">
        <v>27150</v>
      </c>
      <c r="D47" s="363">
        <v>23310</v>
      </c>
      <c r="E47" s="363">
        <v>25150</v>
      </c>
      <c r="F47" s="363"/>
      <c r="G47" s="371">
        <v>16310</v>
      </c>
      <c r="N47" s="363" t="s">
        <v>2601</v>
      </c>
      <c r="Q47" s="363" t="s">
        <v>2602</v>
      </c>
    </row>
    <row r="48" ht="14.25" customHeight="1" spans="1:17">
      <c r="A48" s="363" t="s">
        <v>251</v>
      </c>
      <c r="B48" s="364" t="s">
        <v>2437</v>
      </c>
      <c r="C48" s="363">
        <v>23100</v>
      </c>
      <c r="D48" s="363">
        <v>21110</v>
      </c>
      <c r="E48" s="363">
        <v>23080</v>
      </c>
      <c r="F48" s="363"/>
      <c r="G48" s="371">
        <v>14780</v>
      </c>
      <c r="N48" s="363" t="s">
        <v>2603</v>
      </c>
      <c r="Q48" s="363" t="s">
        <v>2604</v>
      </c>
    </row>
    <row r="49" ht="14.25" customHeight="1" spans="1:17">
      <c r="A49" s="363" t="s">
        <v>251</v>
      </c>
      <c r="B49" s="364" t="s">
        <v>2447</v>
      </c>
      <c r="C49" s="363">
        <v>23400</v>
      </c>
      <c r="D49" s="363">
        <v>22920</v>
      </c>
      <c r="E49" s="363">
        <v>24900</v>
      </c>
      <c r="F49" s="363"/>
      <c r="G49" s="371">
        <v>16040</v>
      </c>
      <c r="N49" s="363" t="s">
        <v>2605</v>
      </c>
      <c r="Q49" s="363" t="s">
        <v>2606</v>
      </c>
    </row>
    <row r="50" ht="14.25" customHeight="1" spans="1:17">
      <c r="A50" s="363" t="s">
        <v>251</v>
      </c>
      <c r="B50" s="364" t="s">
        <v>2456</v>
      </c>
      <c r="C50" s="363">
        <v>21200</v>
      </c>
      <c r="D50" s="363">
        <v>26540</v>
      </c>
      <c r="E50" s="363">
        <v>23200</v>
      </c>
      <c r="F50" s="363"/>
      <c r="G50" s="371">
        <v>18580</v>
      </c>
      <c r="N50" s="363" t="s">
        <v>2607</v>
      </c>
      <c r="Q50" s="364" t="s">
        <v>2608</v>
      </c>
    </row>
    <row r="51" ht="14.25" customHeight="1" spans="1:17">
      <c r="A51" s="363" t="s">
        <v>251</v>
      </c>
      <c r="B51" s="364" t="s">
        <v>2464</v>
      </c>
      <c r="C51" s="363">
        <v>23000</v>
      </c>
      <c r="D51" s="363">
        <v>23460</v>
      </c>
      <c r="E51" s="363">
        <v>25290</v>
      </c>
      <c r="F51" s="363"/>
      <c r="G51" s="371">
        <v>16420</v>
      </c>
      <c r="N51" s="363" t="s">
        <v>2609</v>
      </c>
      <c r="Q51" s="367" t="s">
        <v>2610</v>
      </c>
    </row>
    <row r="52" ht="14.25" customHeight="1" spans="1:14">
      <c r="A52" s="363" t="s">
        <v>251</v>
      </c>
      <c r="B52" s="364" t="s">
        <v>2472</v>
      </c>
      <c r="C52" s="363">
        <v>26660</v>
      </c>
      <c r="D52" s="363">
        <v>22350</v>
      </c>
      <c r="E52" s="363">
        <v>22920</v>
      </c>
      <c r="F52" s="363"/>
      <c r="G52" s="371">
        <v>15640</v>
      </c>
      <c r="N52" s="363" t="s">
        <v>2611</v>
      </c>
    </row>
    <row r="53" ht="14.25" customHeight="1" spans="1:14">
      <c r="A53" s="363" t="s">
        <v>251</v>
      </c>
      <c r="B53" s="364" t="s">
        <v>2480</v>
      </c>
      <c r="C53" s="363">
        <v>23580</v>
      </c>
      <c r="D53" s="363"/>
      <c r="E53" s="363">
        <v>24280</v>
      </c>
      <c r="F53" s="363"/>
      <c r="G53" s="371"/>
      <c r="N53" s="363" t="s">
        <v>2612</v>
      </c>
    </row>
    <row r="54" ht="14.25" customHeight="1" spans="1:14">
      <c r="A54" s="372" t="s">
        <v>251</v>
      </c>
      <c r="B54" s="366" t="s">
        <v>2488</v>
      </c>
      <c r="C54" s="367">
        <v>22460</v>
      </c>
      <c r="D54" s="367"/>
      <c r="E54" s="367"/>
      <c r="F54" s="367"/>
      <c r="G54" s="373"/>
      <c r="N54" s="363" t="s">
        <v>2613</v>
      </c>
    </row>
    <row r="55" ht="14.25" customHeight="1" spans="1:14">
      <c r="A55" s="361" t="s">
        <v>259</v>
      </c>
      <c r="B55" s="362" t="s">
        <v>2244</v>
      </c>
      <c r="C55" s="363">
        <v>21970</v>
      </c>
      <c r="D55" s="363">
        <v>20370</v>
      </c>
      <c r="E55" s="363">
        <v>20180</v>
      </c>
      <c r="F55" s="363">
        <v>5730</v>
      </c>
      <c r="G55" s="363">
        <v>13820</v>
      </c>
      <c r="N55" s="363" t="s">
        <v>2614</v>
      </c>
    </row>
    <row r="56" ht="14.25" customHeight="1" spans="1:14">
      <c r="A56" s="363" t="s">
        <v>259</v>
      </c>
      <c r="B56" s="363" t="s">
        <v>2257</v>
      </c>
      <c r="C56" s="363">
        <v>20470</v>
      </c>
      <c r="D56" s="363">
        <v>20700</v>
      </c>
      <c r="E56" s="363">
        <v>20380</v>
      </c>
      <c r="F56" s="363">
        <v>4760</v>
      </c>
      <c r="G56" s="363">
        <v>14050</v>
      </c>
      <c r="N56" s="363" t="s">
        <v>2615</v>
      </c>
    </row>
    <row r="57" ht="14.25" customHeight="1" spans="1:14">
      <c r="A57" s="363" t="s">
        <v>259</v>
      </c>
      <c r="B57" s="363" t="s">
        <v>2271</v>
      </c>
      <c r="C57" s="363">
        <v>20790</v>
      </c>
      <c r="D57" s="363">
        <v>21370</v>
      </c>
      <c r="E57" s="363">
        <v>20890</v>
      </c>
      <c r="F57" s="363">
        <v>4910</v>
      </c>
      <c r="G57" s="363">
        <v>14510</v>
      </c>
      <c r="N57" s="363" t="s">
        <v>2616</v>
      </c>
    </row>
    <row r="58" ht="14.25" customHeight="1" spans="1:14">
      <c r="A58" s="363" t="s">
        <v>259</v>
      </c>
      <c r="B58" s="363" t="s">
        <v>2283</v>
      </c>
      <c r="C58" s="363">
        <v>21460</v>
      </c>
      <c r="D58" s="363">
        <v>20920</v>
      </c>
      <c r="E58" s="363">
        <v>23410</v>
      </c>
      <c r="F58" s="363">
        <v>5100</v>
      </c>
      <c r="G58" s="363">
        <v>14200</v>
      </c>
      <c r="N58" s="363" t="s">
        <v>2617</v>
      </c>
    </row>
    <row r="59" ht="14.25" customHeight="1" spans="1:14">
      <c r="A59" s="363" t="s">
        <v>259</v>
      </c>
      <c r="B59" s="363" t="s">
        <v>2295</v>
      </c>
      <c r="C59" s="363">
        <v>21000</v>
      </c>
      <c r="D59" s="363">
        <v>21550</v>
      </c>
      <c r="E59" s="363">
        <v>21150</v>
      </c>
      <c r="F59" s="363">
        <v>5250</v>
      </c>
      <c r="G59" s="363">
        <v>14630</v>
      </c>
      <c r="N59" s="363" t="s">
        <v>2618</v>
      </c>
    </row>
    <row r="60" ht="14.25" customHeight="1" spans="1:14">
      <c r="A60" s="363" t="s">
        <v>259</v>
      </c>
      <c r="B60" s="363" t="s">
        <v>2306</v>
      </c>
      <c r="C60" s="363">
        <v>21640</v>
      </c>
      <c r="D60" s="363">
        <v>21260</v>
      </c>
      <c r="E60" s="363">
        <v>24040</v>
      </c>
      <c r="F60" s="363">
        <v>4470</v>
      </c>
      <c r="G60" s="363">
        <v>14430</v>
      </c>
      <c r="N60" s="363" t="s">
        <v>2619</v>
      </c>
    </row>
    <row r="61" ht="14.25" customHeight="1" spans="1:14">
      <c r="A61" s="363" t="s">
        <v>259</v>
      </c>
      <c r="B61" s="363" t="s">
        <v>2317</v>
      </c>
      <c r="C61" s="363">
        <v>21330</v>
      </c>
      <c r="D61" s="363">
        <v>18640</v>
      </c>
      <c r="E61" s="363">
        <v>21190</v>
      </c>
      <c r="F61" s="363">
        <v>4180</v>
      </c>
      <c r="G61" s="363">
        <v>12650</v>
      </c>
      <c r="N61" s="363" t="s">
        <v>2620</v>
      </c>
    </row>
    <row r="62" ht="14.25" customHeight="1" spans="1:14">
      <c r="A62" s="363" t="s">
        <v>259</v>
      </c>
      <c r="B62" s="363" t="s">
        <v>2328</v>
      </c>
      <c r="C62" s="363">
        <v>18710</v>
      </c>
      <c r="D62" s="363">
        <v>19400</v>
      </c>
      <c r="E62" s="363">
        <v>23750</v>
      </c>
      <c r="F62" s="363">
        <v>4860</v>
      </c>
      <c r="G62" s="363">
        <v>13170</v>
      </c>
      <c r="N62" s="363" t="s">
        <v>2621</v>
      </c>
    </row>
    <row r="63" ht="14.25" customHeight="1" spans="1:14">
      <c r="A63" s="363" t="s">
        <v>259</v>
      </c>
      <c r="B63" s="363" t="s">
        <v>2338</v>
      </c>
      <c r="C63" s="363">
        <v>19480</v>
      </c>
      <c r="D63" s="363">
        <v>16830</v>
      </c>
      <c r="E63" s="363">
        <v>21590</v>
      </c>
      <c r="F63" s="363">
        <v>4560</v>
      </c>
      <c r="G63" s="363">
        <v>11420</v>
      </c>
      <c r="N63" s="363" t="s">
        <v>2622</v>
      </c>
    </row>
    <row r="64" ht="14.25" customHeight="1" spans="1:14">
      <c r="A64" s="363" t="s">
        <v>259</v>
      </c>
      <c r="B64" s="363" t="s">
        <v>2348</v>
      </c>
      <c r="C64" s="363">
        <v>16920</v>
      </c>
      <c r="D64" s="363">
        <v>19190</v>
      </c>
      <c r="E64" s="363">
        <v>22200</v>
      </c>
      <c r="F64" s="363">
        <v>4390</v>
      </c>
      <c r="G64" s="363">
        <v>13030</v>
      </c>
      <c r="N64" s="367" t="s">
        <v>2623</v>
      </c>
    </row>
    <row r="65" s="348" customFormat="1" ht="14.25" customHeight="1" spans="1:7">
      <c r="A65" s="363" t="s">
        <v>259</v>
      </c>
      <c r="B65" s="363" t="s">
        <v>2358</v>
      </c>
      <c r="C65" s="363">
        <v>19290</v>
      </c>
      <c r="D65" s="363">
        <v>17020</v>
      </c>
      <c r="E65" s="363">
        <v>19880</v>
      </c>
      <c r="F65" s="363">
        <v>4070</v>
      </c>
      <c r="G65" s="363">
        <v>11550</v>
      </c>
    </row>
    <row r="66" s="348" customFormat="1" ht="14.25" customHeight="1" spans="1:7">
      <c r="A66" s="363" t="s">
        <v>259</v>
      </c>
      <c r="B66" s="363" t="s">
        <v>2368</v>
      </c>
      <c r="C66" s="363">
        <v>17090</v>
      </c>
      <c r="D66" s="363">
        <v>18340</v>
      </c>
      <c r="E66" s="363">
        <v>21830</v>
      </c>
      <c r="F66" s="363">
        <v>4690</v>
      </c>
      <c r="G66" s="363">
        <v>12450</v>
      </c>
    </row>
    <row r="67" s="348" customFormat="1" ht="14.25" customHeight="1" spans="1:7">
      <c r="A67" s="363" t="s">
        <v>259</v>
      </c>
      <c r="B67" s="363" t="s">
        <v>2378</v>
      </c>
      <c r="C67" s="363">
        <v>18420</v>
      </c>
      <c r="D67" s="363">
        <v>16360</v>
      </c>
      <c r="E67" s="363">
        <v>20020</v>
      </c>
      <c r="F67" s="363">
        <v>5150</v>
      </c>
      <c r="G67" s="363">
        <v>11110</v>
      </c>
    </row>
    <row r="68" s="348" customFormat="1" ht="14.25" customHeight="1" spans="1:7">
      <c r="A68" s="363" t="s">
        <v>259</v>
      </c>
      <c r="B68" s="363" t="s">
        <v>2388</v>
      </c>
      <c r="C68" s="363">
        <v>16450</v>
      </c>
      <c r="D68" s="363">
        <v>18430</v>
      </c>
      <c r="E68" s="363">
        <v>21010</v>
      </c>
      <c r="F68" s="363">
        <v>4720</v>
      </c>
      <c r="G68" s="363">
        <v>12510</v>
      </c>
    </row>
    <row r="69" s="348" customFormat="1" ht="14.25" customHeight="1" spans="1:7">
      <c r="A69" s="363" t="s">
        <v>259</v>
      </c>
      <c r="B69" s="363" t="s">
        <v>2398</v>
      </c>
      <c r="C69" s="363">
        <v>18510</v>
      </c>
      <c r="D69" s="363">
        <v>16300</v>
      </c>
      <c r="E69" s="363">
        <v>18830</v>
      </c>
      <c r="F69" s="363">
        <v>5400</v>
      </c>
      <c r="G69" s="363">
        <v>11070</v>
      </c>
    </row>
    <row r="70" s="348" customFormat="1" ht="14.25" customHeight="1" spans="1:7">
      <c r="A70" s="363" t="s">
        <v>259</v>
      </c>
      <c r="B70" s="363" t="s">
        <v>2408</v>
      </c>
      <c r="C70" s="363">
        <v>16370</v>
      </c>
      <c r="D70" s="363">
        <v>18620</v>
      </c>
      <c r="E70" s="363">
        <v>21100</v>
      </c>
      <c r="F70" s="363">
        <v>5700</v>
      </c>
      <c r="G70" s="363">
        <v>12640</v>
      </c>
    </row>
    <row r="71" s="348" customFormat="1" ht="14.25" customHeight="1" spans="1:7">
      <c r="A71" s="363" t="s">
        <v>259</v>
      </c>
      <c r="B71" s="363" t="s">
        <v>2418</v>
      </c>
      <c r="C71" s="363">
        <v>18700</v>
      </c>
      <c r="D71" s="363">
        <v>16290</v>
      </c>
      <c r="E71" s="363">
        <v>18760</v>
      </c>
      <c r="F71" s="363">
        <v>4780</v>
      </c>
      <c r="G71" s="363">
        <v>11050</v>
      </c>
    </row>
    <row r="72" s="348" customFormat="1" ht="14.25" customHeight="1" spans="1:7">
      <c r="A72" s="363" t="s">
        <v>259</v>
      </c>
      <c r="B72" s="363" t="s">
        <v>2428</v>
      </c>
      <c r="C72" s="363">
        <v>16340</v>
      </c>
      <c r="D72" s="363">
        <v>17520</v>
      </c>
      <c r="E72" s="363">
        <v>21170</v>
      </c>
      <c r="F72" s="363"/>
      <c r="G72" s="363">
        <v>11900</v>
      </c>
    </row>
    <row r="73" s="348" customFormat="1" ht="14.25" customHeight="1" spans="1:7">
      <c r="A73" s="363" t="s">
        <v>259</v>
      </c>
      <c r="B73" s="363" t="s">
        <v>2438</v>
      </c>
      <c r="C73" s="363">
        <v>17610</v>
      </c>
      <c r="D73" s="363">
        <v>18520</v>
      </c>
      <c r="E73" s="363">
        <v>18720</v>
      </c>
      <c r="F73" s="363"/>
      <c r="G73" s="363">
        <v>12570</v>
      </c>
    </row>
    <row r="74" s="348" customFormat="1" ht="14.25" customHeight="1" spans="1:7">
      <c r="A74" s="363" t="s">
        <v>259</v>
      </c>
      <c r="B74" s="363" t="s">
        <v>2448</v>
      </c>
      <c r="C74" s="363">
        <v>18600</v>
      </c>
      <c r="D74" s="363">
        <v>16480</v>
      </c>
      <c r="E74" s="363">
        <v>20100</v>
      </c>
      <c r="F74" s="363"/>
      <c r="G74" s="363">
        <v>11190</v>
      </c>
    </row>
    <row r="75" s="348" customFormat="1" ht="14.25" customHeight="1" spans="1:7">
      <c r="A75" s="363" t="s">
        <v>259</v>
      </c>
      <c r="B75" s="363" t="s">
        <v>2457</v>
      </c>
      <c r="C75" s="363">
        <v>16570</v>
      </c>
      <c r="D75" s="363">
        <v>17530</v>
      </c>
      <c r="E75" s="363">
        <v>21030</v>
      </c>
      <c r="F75" s="363"/>
      <c r="G75" s="363">
        <v>11900</v>
      </c>
    </row>
    <row r="76" s="348" customFormat="1" ht="14.25" customHeight="1" spans="1:7">
      <c r="A76" s="363" t="s">
        <v>259</v>
      </c>
      <c r="B76" s="363" t="s">
        <v>2465</v>
      </c>
      <c r="C76" s="363">
        <v>17610</v>
      </c>
      <c r="D76" s="363">
        <v>20800</v>
      </c>
      <c r="E76" s="363">
        <v>18920</v>
      </c>
      <c r="F76" s="363"/>
      <c r="G76" s="363">
        <v>14120</v>
      </c>
    </row>
    <row r="77" s="348" customFormat="1" ht="14.25" customHeight="1" spans="1:7">
      <c r="A77" s="363" t="s">
        <v>259</v>
      </c>
      <c r="B77" s="363" t="s">
        <v>2473</v>
      </c>
      <c r="C77" s="363">
        <v>20890</v>
      </c>
      <c r="D77" s="363">
        <v>19740</v>
      </c>
      <c r="E77" s="363">
        <v>20110</v>
      </c>
      <c r="F77" s="363"/>
      <c r="G77" s="363">
        <v>13400</v>
      </c>
    </row>
    <row r="78" s="348" customFormat="1" ht="14.25" customHeight="1" spans="1:7">
      <c r="A78" s="363" t="s">
        <v>259</v>
      </c>
      <c r="B78" s="363" t="s">
        <v>2481</v>
      </c>
      <c r="C78" s="363">
        <v>19820</v>
      </c>
      <c r="D78" s="363">
        <v>19780</v>
      </c>
      <c r="E78" s="363">
        <v>18560</v>
      </c>
      <c r="F78" s="363"/>
      <c r="G78" s="363">
        <v>13430</v>
      </c>
    </row>
    <row r="79" s="348" customFormat="1" ht="14.25" customHeight="1" spans="1:7">
      <c r="A79" s="363" t="s">
        <v>259</v>
      </c>
      <c r="B79" s="363" t="s">
        <v>2489</v>
      </c>
      <c r="C79" s="363">
        <v>21660</v>
      </c>
      <c r="D79" s="363">
        <v>18000</v>
      </c>
      <c r="E79" s="363">
        <v>22570</v>
      </c>
      <c r="F79" s="363"/>
      <c r="G79" s="363">
        <v>12220</v>
      </c>
    </row>
    <row r="80" s="348" customFormat="1" ht="14.25" customHeight="1" spans="1:7">
      <c r="A80" s="363" t="s">
        <v>259</v>
      </c>
      <c r="B80" s="363" t="s">
        <v>2496</v>
      </c>
      <c r="C80" s="363">
        <v>19850</v>
      </c>
      <c r="D80" s="363"/>
      <c r="E80" s="363">
        <v>21700</v>
      </c>
      <c r="F80" s="363"/>
      <c r="G80" s="363"/>
    </row>
    <row r="81" s="348" customFormat="1" ht="14.25" customHeight="1" spans="1:7">
      <c r="A81" s="363" t="s">
        <v>259</v>
      </c>
      <c r="B81" s="363" t="s">
        <v>2503</v>
      </c>
      <c r="C81" s="363">
        <v>18080</v>
      </c>
      <c r="D81" s="363"/>
      <c r="E81" s="363">
        <v>20900</v>
      </c>
      <c r="F81" s="363"/>
      <c r="G81" s="363"/>
    </row>
    <row r="82" s="348" customFormat="1" ht="14.25" customHeight="1" spans="1:7">
      <c r="A82" s="363" t="s">
        <v>259</v>
      </c>
      <c r="B82" s="363" t="s">
        <v>2510</v>
      </c>
      <c r="C82" s="363"/>
      <c r="D82" s="363"/>
      <c r="E82" s="363">
        <v>20840</v>
      </c>
      <c r="F82" s="363"/>
      <c r="G82" s="363"/>
    </row>
    <row r="83" s="348" customFormat="1" ht="14.25" customHeight="1" spans="1:7">
      <c r="A83" s="363" t="s">
        <v>259</v>
      </c>
      <c r="B83" s="363" t="s">
        <v>2517</v>
      </c>
      <c r="C83" s="363"/>
      <c r="D83" s="363"/>
      <c r="E83" s="363"/>
      <c r="F83" s="363">
        <v>4770</v>
      </c>
      <c r="G83" s="363"/>
    </row>
    <row r="84" s="348" customFormat="1" ht="14.25" customHeight="1" spans="1:7">
      <c r="A84" s="363" t="s">
        <v>259</v>
      </c>
      <c r="B84" s="363" t="s">
        <v>2524</v>
      </c>
      <c r="C84" s="363"/>
      <c r="D84" s="363"/>
      <c r="E84" s="363"/>
      <c r="F84" s="363">
        <v>4600</v>
      </c>
      <c r="G84" s="363"/>
    </row>
    <row r="85" s="348" customFormat="1" ht="14.25" customHeight="1" spans="1:7">
      <c r="A85" s="363" t="s">
        <v>259</v>
      </c>
      <c r="B85" s="363" t="s">
        <v>2531</v>
      </c>
      <c r="C85" s="363"/>
      <c r="D85" s="363"/>
      <c r="E85" s="363"/>
      <c r="F85" s="363">
        <v>4680</v>
      </c>
      <c r="G85" s="363"/>
    </row>
    <row r="86" s="348" customFormat="1" ht="14.25" customHeight="1" spans="1:7">
      <c r="A86" s="365" t="s">
        <v>259</v>
      </c>
      <c r="B86" s="368" t="s">
        <v>2538</v>
      </c>
      <c r="C86" s="369">
        <v>16610</v>
      </c>
      <c r="D86" s="369">
        <v>16540</v>
      </c>
      <c r="E86" s="369">
        <v>18850</v>
      </c>
      <c r="F86" s="369"/>
      <c r="G86" s="369">
        <v>11220</v>
      </c>
    </row>
    <row r="87" s="348" customFormat="1" ht="14.25" customHeight="1" spans="1:7">
      <c r="A87" s="361" t="s">
        <v>267</v>
      </c>
      <c r="B87" s="362" t="s">
        <v>2245</v>
      </c>
      <c r="C87" s="362">
        <v>15240</v>
      </c>
      <c r="D87" s="362">
        <v>15170</v>
      </c>
      <c r="E87" s="362">
        <v>18260</v>
      </c>
      <c r="F87" s="362">
        <v>3830</v>
      </c>
      <c r="G87" s="370">
        <v>10020</v>
      </c>
    </row>
    <row r="88" s="348" customFormat="1" ht="14.25" customHeight="1" spans="1:7">
      <c r="A88" s="363" t="s">
        <v>267</v>
      </c>
      <c r="B88" s="363" t="s">
        <v>2258</v>
      </c>
      <c r="C88" s="363">
        <v>17310</v>
      </c>
      <c r="D88" s="363">
        <v>17220</v>
      </c>
      <c r="E88" s="363">
        <v>18610</v>
      </c>
      <c r="F88" s="363">
        <v>3990</v>
      </c>
      <c r="G88" s="371">
        <v>11380</v>
      </c>
    </row>
    <row r="89" s="348" customFormat="1" ht="14.25" customHeight="1" spans="1:7">
      <c r="A89" s="363" t="s">
        <v>267</v>
      </c>
      <c r="B89" s="363" t="s">
        <v>2272</v>
      </c>
      <c r="C89" s="363">
        <v>15600</v>
      </c>
      <c r="D89" s="363">
        <v>15550</v>
      </c>
      <c r="E89" s="363">
        <v>19200</v>
      </c>
      <c r="F89" s="363">
        <v>4110</v>
      </c>
      <c r="G89" s="371">
        <v>10270</v>
      </c>
    </row>
    <row r="90" s="348" customFormat="1" ht="14.25" customHeight="1" spans="1:7">
      <c r="A90" s="363" t="s">
        <v>267</v>
      </c>
      <c r="B90" s="363" t="s">
        <v>2284</v>
      </c>
      <c r="C90" s="363">
        <v>17330</v>
      </c>
      <c r="D90" s="363">
        <v>17240</v>
      </c>
      <c r="E90" s="363">
        <v>18570</v>
      </c>
      <c r="F90" s="363">
        <v>4070</v>
      </c>
      <c r="G90" s="371">
        <v>11390</v>
      </c>
    </row>
    <row r="91" s="348" customFormat="1" ht="14.25" customHeight="1" spans="1:7">
      <c r="A91" s="363" t="s">
        <v>267</v>
      </c>
      <c r="B91" s="363" t="s">
        <v>2296</v>
      </c>
      <c r="C91" s="363">
        <v>16330</v>
      </c>
      <c r="D91" s="363">
        <v>16260</v>
      </c>
      <c r="E91" s="363">
        <v>16800</v>
      </c>
      <c r="F91" s="363">
        <v>3410</v>
      </c>
      <c r="G91" s="371">
        <v>10740</v>
      </c>
    </row>
    <row r="92" s="348" customFormat="1" ht="14.25" customHeight="1" spans="1:7">
      <c r="A92" s="363" t="s">
        <v>267</v>
      </c>
      <c r="B92" s="363" t="s">
        <v>2307</v>
      </c>
      <c r="C92" s="363">
        <v>15570</v>
      </c>
      <c r="D92" s="363">
        <v>15500</v>
      </c>
      <c r="E92" s="363">
        <v>17360</v>
      </c>
      <c r="F92" s="363">
        <v>3510</v>
      </c>
      <c r="G92" s="371">
        <v>10240</v>
      </c>
    </row>
    <row r="93" s="348" customFormat="1" ht="14.25" customHeight="1" spans="1:7">
      <c r="A93" s="363" t="s">
        <v>267</v>
      </c>
      <c r="B93" s="363" t="s">
        <v>2318</v>
      </c>
      <c r="C93" s="363">
        <v>14000</v>
      </c>
      <c r="D93" s="363">
        <v>13930</v>
      </c>
      <c r="E93" s="363">
        <v>18200</v>
      </c>
      <c r="F93" s="363">
        <v>3640</v>
      </c>
      <c r="G93" s="371">
        <v>9210</v>
      </c>
    </row>
    <row r="94" s="348" customFormat="1" ht="14.25" customHeight="1" spans="1:7">
      <c r="A94" s="363" t="s">
        <v>267</v>
      </c>
      <c r="B94" s="363" t="s">
        <v>2329</v>
      </c>
      <c r="C94" s="363">
        <v>14530</v>
      </c>
      <c r="D94" s="363">
        <v>14470</v>
      </c>
      <c r="E94" s="363">
        <v>18240</v>
      </c>
      <c r="F94" s="363">
        <v>3180</v>
      </c>
      <c r="G94" s="371">
        <v>9560</v>
      </c>
    </row>
    <row r="95" s="348" customFormat="1" ht="14.25" customHeight="1" spans="1:7">
      <c r="A95" s="363" t="s">
        <v>267</v>
      </c>
      <c r="B95" s="363" t="s">
        <v>2339</v>
      </c>
      <c r="C95" s="363">
        <v>17330</v>
      </c>
      <c r="D95" s="363">
        <v>17260</v>
      </c>
      <c r="E95" s="363">
        <v>18420</v>
      </c>
      <c r="F95" s="363">
        <v>3060</v>
      </c>
      <c r="G95" s="371">
        <v>11410</v>
      </c>
    </row>
    <row r="96" s="348" customFormat="1" ht="14.25" customHeight="1" spans="1:7">
      <c r="A96" s="363" t="s">
        <v>267</v>
      </c>
      <c r="B96" s="363" t="s">
        <v>2349</v>
      </c>
      <c r="C96" s="363">
        <v>15030</v>
      </c>
      <c r="D96" s="363">
        <v>14970</v>
      </c>
      <c r="E96" s="363">
        <v>17580</v>
      </c>
      <c r="F96" s="363">
        <v>2970</v>
      </c>
      <c r="G96" s="371">
        <v>9890</v>
      </c>
    </row>
    <row r="97" s="348" customFormat="1" ht="14.25" customHeight="1" spans="1:7">
      <c r="A97" s="363" t="s">
        <v>267</v>
      </c>
      <c r="B97" s="363" t="s">
        <v>2359</v>
      </c>
      <c r="C97" s="363">
        <v>17400</v>
      </c>
      <c r="D97" s="363">
        <v>17330</v>
      </c>
      <c r="E97" s="363">
        <v>16430</v>
      </c>
      <c r="F97" s="363">
        <v>2950</v>
      </c>
      <c r="G97" s="371">
        <v>11450</v>
      </c>
    </row>
    <row r="98" s="348" customFormat="1" ht="14.25" customHeight="1" spans="1:7">
      <c r="A98" s="363" t="s">
        <v>267</v>
      </c>
      <c r="B98" s="363" t="s">
        <v>2369</v>
      </c>
      <c r="C98" s="363">
        <v>15200</v>
      </c>
      <c r="D98" s="363">
        <v>15120</v>
      </c>
      <c r="E98" s="363">
        <v>17550</v>
      </c>
      <c r="F98" s="363">
        <v>3080</v>
      </c>
      <c r="G98" s="371">
        <v>9990</v>
      </c>
    </row>
    <row r="99" s="348" customFormat="1" ht="14.25" customHeight="1" spans="1:7">
      <c r="A99" s="363" t="s">
        <v>267</v>
      </c>
      <c r="B99" s="363" t="s">
        <v>2379</v>
      </c>
      <c r="C99" s="363">
        <v>17520</v>
      </c>
      <c r="D99" s="363">
        <v>17430</v>
      </c>
      <c r="E99" s="363">
        <v>16350</v>
      </c>
      <c r="F99" s="363">
        <v>3260</v>
      </c>
      <c r="G99" s="371">
        <v>11510</v>
      </c>
    </row>
    <row r="100" s="348" customFormat="1" ht="14.25" customHeight="1" spans="1:7">
      <c r="A100" s="363" t="s">
        <v>267</v>
      </c>
      <c r="B100" s="363" t="s">
        <v>2389</v>
      </c>
      <c r="C100" s="363">
        <v>15340</v>
      </c>
      <c r="D100" s="363">
        <v>15260</v>
      </c>
      <c r="E100" s="363">
        <v>15930</v>
      </c>
      <c r="F100" s="363">
        <v>2740</v>
      </c>
      <c r="G100" s="371">
        <v>10080</v>
      </c>
    </row>
    <row r="101" s="348" customFormat="1" ht="14.25" customHeight="1" spans="1:7">
      <c r="A101" s="363" t="s">
        <v>267</v>
      </c>
      <c r="B101" s="363" t="s">
        <v>2399</v>
      </c>
      <c r="C101" s="363">
        <v>14620</v>
      </c>
      <c r="D101" s="363">
        <v>14560</v>
      </c>
      <c r="E101" s="363">
        <v>15570</v>
      </c>
      <c r="F101" s="363">
        <v>3500</v>
      </c>
      <c r="G101" s="371">
        <v>9630</v>
      </c>
    </row>
    <row r="102" s="348" customFormat="1" ht="14.25" customHeight="1" spans="1:7">
      <c r="A102" s="363" t="s">
        <v>267</v>
      </c>
      <c r="B102" s="363" t="s">
        <v>2409</v>
      </c>
      <c r="C102" s="363">
        <v>13680</v>
      </c>
      <c r="D102" s="363">
        <v>13610</v>
      </c>
      <c r="E102" s="363">
        <v>15690</v>
      </c>
      <c r="F102" s="363">
        <v>2870</v>
      </c>
      <c r="G102" s="371">
        <v>8990</v>
      </c>
    </row>
    <row r="103" s="348" customFormat="1" ht="14.25" customHeight="1" spans="1:7">
      <c r="A103" s="363" t="s">
        <v>267</v>
      </c>
      <c r="B103" s="363" t="s">
        <v>2419</v>
      </c>
      <c r="C103" s="363">
        <v>14620</v>
      </c>
      <c r="D103" s="363">
        <v>14540</v>
      </c>
      <c r="E103" s="363">
        <v>15240</v>
      </c>
      <c r="F103" s="363">
        <v>2840</v>
      </c>
      <c r="G103" s="371">
        <v>9610</v>
      </c>
    </row>
    <row r="104" s="348" customFormat="1" ht="14.25" customHeight="1" spans="1:7">
      <c r="A104" s="363" t="s">
        <v>267</v>
      </c>
      <c r="B104" s="363" t="s">
        <v>2429</v>
      </c>
      <c r="C104" s="363">
        <v>13610</v>
      </c>
      <c r="D104" s="363">
        <v>13540</v>
      </c>
      <c r="E104" s="363">
        <v>15750</v>
      </c>
      <c r="F104" s="363">
        <v>2770</v>
      </c>
      <c r="G104" s="371">
        <v>8940</v>
      </c>
    </row>
    <row r="105" s="348" customFormat="1" ht="14.25" customHeight="1" spans="1:7">
      <c r="A105" s="363" t="s">
        <v>267</v>
      </c>
      <c r="B105" s="363" t="s">
        <v>2439</v>
      </c>
      <c r="C105" s="363">
        <v>13310</v>
      </c>
      <c r="D105" s="363">
        <v>13240</v>
      </c>
      <c r="E105" s="363">
        <v>16280</v>
      </c>
      <c r="F105" s="363">
        <v>3210</v>
      </c>
      <c r="G105" s="371">
        <v>8750</v>
      </c>
    </row>
    <row r="106" s="348" customFormat="1" ht="14.25" customHeight="1" spans="1:7">
      <c r="A106" s="363" t="s">
        <v>267</v>
      </c>
      <c r="B106" s="363" t="s">
        <v>2449</v>
      </c>
      <c r="C106" s="363">
        <v>13010</v>
      </c>
      <c r="D106" s="363">
        <v>12930</v>
      </c>
      <c r="E106" s="363">
        <v>14960</v>
      </c>
      <c r="F106" s="363">
        <v>3530</v>
      </c>
      <c r="G106" s="371">
        <v>8550</v>
      </c>
    </row>
    <row r="107" s="348" customFormat="1" ht="14.25" customHeight="1" spans="1:7">
      <c r="A107" s="363" t="s">
        <v>267</v>
      </c>
      <c r="B107" s="363" t="s">
        <v>2458</v>
      </c>
      <c r="C107" s="363">
        <v>13070</v>
      </c>
      <c r="D107" s="363">
        <v>13000</v>
      </c>
      <c r="E107" s="363">
        <v>15910</v>
      </c>
      <c r="F107" s="363">
        <v>3990</v>
      </c>
      <c r="G107" s="371">
        <v>8580</v>
      </c>
    </row>
    <row r="108" s="348" customFormat="1" ht="14.25" customHeight="1" spans="1:7">
      <c r="A108" s="363" t="s">
        <v>267</v>
      </c>
      <c r="B108" s="363" t="s">
        <v>2466</v>
      </c>
      <c r="C108" s="363">
        <v>12640</v>
      </c>
      <c r="D108" s="363">
        <v>12580</v>
      </c>
      <c r="E108" s="363">
        <v>15730</v>
      </c>
      <c r="F108" s="363"/>
      <c r="G108" s="371">
        <v>8310</v>
      </c>
    </row>
    <row r="109" s="348" customFormat="1" ht="14.25" customHeight="1" spans="1:7">
      <c r="A109" s="363" t="s">
        <v>267</v>
      </c>
      <c r="B109" s="363" t="s">
        <v>2474</v>
      </c>
      <c r="C109" s="363">
        <v>13130</v>
      </c>
      <c r="D109" s="363">
        <v>13070</v>
      </c>
      <c r="E109" s="363">
        <v>15000</v>
      </c>
      <c r="F109" s="363"/>
      <c r="G109" s="371">
        <v>8630</v>
      </c>
    </row>
    <row r="110" s="348" customFormat="1" ht="14.25" customHeight="1" spans="1:7">
      <c r="A110" s="363" t="s">
        <v>267</v>
      </c>
      <c r="B110" s="363" t="s">
        <v>2482</v>
      </c>
      <c r="C110" s="363">
        <v>13560</v>
      </c>
      <c r="D110" s="363">
        <v>13490</v>
      </c>
      <c r="E110" s="363">
        <v>16300</v>
      </c>
      <c r="F110" s="363"/>
      <c r="G110" s="371">
        <v>8920</v>
      </c>
    </row>
    <row r="111" s="348" customFormat="1" ht="14.25" customHeight="1" spans="1:7">
      <c r="A111" s="363" t="s">
        <v>267</v>
      </c>
      <c r="B111" s="363" t="s">
        <v>2490</v>
      </c>
      <c r="C111" s="363">
        <v>12440</v>
      </c>
      <c r="D111" s="363">
        <v>12380</v>
      </c>
      <c r="E111" s="363">
        <v>17850</v>
      </c>
      <c r="F111" s="363"/>
      <c r="G111" s="371">
        <v>8180</v>
      </c>
    </row>
    <row r="112" s="348" customFormat="1" ht="14.25" customHeight="1" spans="1:7">
      <c r="A112" s="363" t="s">
        <v>267</v>
      </c>
      <c r="B112" s="363" t="s">
        <v>2497</v>
      </c>
      <c r="C112" s="363">
        <v>13260</v>
      </c>
      <c r="D112" s="363">
        <v>13180</v>
      </c>
      <c r="E112" s="363">
        <v>19740</v>
      </c>
      <c r="F112" s="363"/>
      <c r="G112" s="371">
        <v>8710</v>
      </c>
    </row>
    <row r="113" s="348" customFormat="1" ht="14.25" customHeight="1" spans="1:7">
      <c r="A113" s="363" t="s">
        <v>267</v>
      </c>
      <c r="B113" s="363" t="s">
        <v>2504</v>
      </c>
      <c r="C113" s="363">
        <v>15520</v>
      </c>
      <c r="D113" s="363">
        <v>15450</v>
      </c>
      <c r="E113" s="363"/>
      <c r="F113" s="363"/>
      <c r="G113" s="371">
        <v>10210</v>
      </c>
    </row>
    <row r="114" s="348" customFormat="1" ht="14.25" customHeight="1" spans="1:7">
      <c r="A114" s="363" t="s">
        <v>267</v>
      </c>
      <c r="B114" s="363" t="s">
        <v>2511</v>
      </c>
      <c r="C114" s="363">
        <v>13110</v>
      </c>
      <c r="D114" s="363">
        <v>13050</v>
      </c>
      <c r="E114" s="363"/>
      <c r="F114" s="363"/>
      <c r="G114" s="371">
        <v>8620</v>
      </c>
    </row>
    <row r="115" s="348" customFormat="1" ht="14.25" customHeight="1" spans="1:7">
      <c r="A115" s="363" t="s">
        <v>267</v>
      </c>
      <c r="B115" s="363" t="s">
        <v>2518</v>
      </c>
      <c r="C115" s="363">
        <v>12460</v>
      </c>
      <c r="D115" s="363">
        <v>12390</v>
      </c>
      <c r="E115" s="363"/>
      <c r="F115" s="363"/>
      <c r="G115" s="371">
        <v>8190</v>
      </c>
    </row>
    <row r="116" s="348" customFormat="1" ht="14.25" customHeight="1" spans="1:7">
      <c r="A116" s="363" t="s">
        <v>267</v>
      </c>
      <c r="B116" s="363" t="s">
        <v>2525</v>
      </c>
      <c r="C116" s="363">
        <v>13580</v>
      </c>
      <c r="D116" s="363">
        <v>13520</v>
      </c>
      <c r="E116" s="363"/>
      <c r="F116" s="363"/>
      <c r="G116" s="371">
        <v>8930</v>
      </c>
    </row>
    <row r="117" s="348" customFormat="1" ht="14.25" customHeight="1" spans="1:7">
      <c r="A117" s="363" t="s">
        <v>267</v>
      </c>
      <c r="B117" s="363" t="s">
        <v>2532</v>
      </c>
      <c r="C117" s="363">
        <v>17120</v>
      </c>
      <c r="D117" s="363">
        <v>17040</v>
      </c>
      <c r="E117" s="363"/>
      <c r="F117" s="363"/>
      <c r="G117" s="371">
        <v>11260</v>
      </c>
    </row>
    <row r="118" s="348" customFormat="1" ht="14.25" customHeight="1" spans="1:7">
      <c r="A118" s="363" t="s">
        <v>267</v>
      </c>
      <c r="B118" s="363" t="s">
        <v>2539</v>
      </c>
      <c r="C118" s="363">
        <v>14860</v>
      </c>
      <c r="D118" s="363">
        <v>14790</v>
      </c>
      <c r="E118" s="363"/>
      <c r="F118" s="363"/>
      <c r="G118" s="371">
        <v>9780</v>
      </c>
    </row>
    <row r="119" s="348" customFormat="1" ht="14.25" customHeight="1" spans="1:7">
      <c r="A119" s="363" t="s">
        <v>267</v>
      </c>
      <c r="B119" s="363" t="s">
        <v>2544</v>
      </c>
      <c r="C119" s="363">
        <v>16470</v>
      </c>
      <c r="D119" s="363">
        <v>16400</v>
      </c>
      <c r="E119" s="363"/>
      <c r="F119" s="363"/>
      <c r="G119" s="371">
        <v>10840</v>
      </c>
    </row>
    <row r="120" s="348" customFormat="1" ht="14.25" customHeight="1" spans="1:7">
      <c r="A120" s="363" t="s">
        <v>267</v>
      </c>
      <c r="B120" s="363" t="s">
        <v>2549</v>
      </c>
      <c r="C120" s="363"/>
      <c r="D120" s="363"/>
      <c r="E120" s="363"/>
      <c r="F120" s="363">
        <v>4160</v>
      </c>
      <c r="G120" s="371"/>
    </row>
    <row r="121" s="348" customFormat="1" ht="14.25" customHeight="1" spans="1:7">
      <c r="A121" s="363" t="s">
        <v>267</v>
      </c>
      <c r="B121" s="363" t="s">
        <v>2554</v>
      </c>
      <c r="C121" s="363"/>
      <c r="D121" s="363"/>
      <c r="E121" s="363"/>
      <c r="F121" s="363">
        <v>3880</v>
      </c>
      <c r="G121" s="371"/>
    </row>
    <row r="122" s="348" customFormat="1" ht="14.25" customHeight="1" spans="1:7">
      <c r="A122" s="363" t="s">
        <v>267</v>
      </c>
      <c r="B122" s="363" t="s">
        <v>2559</v>
      </c>
      <c r="C122" s="363">
        <v>13750</v>
      </c>
      <c r="D122" s="363">
        <v>13680</v>
      </c>
      <c r="E122" s="363">
        <v>16460</v>
      </c>
      <c r="F122" s="363">
        <v>2880</v>
      </c>
      <c r="G122" s="371">
        <v>9040</v>
      </c>
    </row>
    <row r="123" s="348" customFormat="1" ht="14.25" customHeight="1" spans="1:7">
      <c r="A123" s="363" t="s">
        <v>267</v>
      </c>
      <c r="B123" s="363" t="s">
        <v>2564</v>
      </c>
      <c r="C123" s="363">
        <v>13590</v>
      </c>
      <c r="D123" s="363">
        <v>13520</v>
      </c>
      <c r="E123" s="363">
        <v>16290</v>
      </c>
      <c r="F123" s="363">
        <v>2790</v>
      </c>
      <c r="G123" s="371">
        <v>8930</v>
      </c>
    </row>
    <row r="124" s="348" customFormat="1" ht="14.25" customHeight="1" spans="1:7">
      <c r="A124" s="363" t="s">
        <v>267</v>
      </c>
      <c r="B124" s="363" t="s">
        <v>2569</v>
      </c>
      <c r="C124" s="363">
        <v>13400</v>
      </c>
      <c r="D124" s="363">
        <v>13320</v>
      </c>
      <c r="E124" s="363">
        <v>16100</v>
      </c>
      <c r="F124" s="363">
        <v>2320</v>
      </c>
      <c r="G124" s="371">
        <v>8800</v>
      </c>
    </row>
    <row r="125" s="348" customFormat="1" ht="14.25" customHeight="1" spans="1:7">
      <c r="A125" s="363" t="s">
        <v>267</v>
      </c>
      <c r="B125" s="363" t="s">
        <v>2574</v>
      </c>
      <c r="C125" s="363">
        <v>12860</v>
      </c>
      <c r="D125" s="363">
        <v>12790</v>
      </c>
      <c r="E125" s="363">
        <v>15370</v>
      </c>
      <c r="F125" s="363">
        <v>2280</v>
      </c>
      <c r="G125" s="371">
        <v>8450</v>
      </c>
    </row>
    <row r="126" s="348" customFormat="1" ht="14.25" customHeight="1" spans="1:7">
      <c r="A126" s="372" t="s">
        <v>267</v>
      </c>
      <c r="B126" s="367" t="s">
        <v>2579</v>
      </c>
      <c r="C126" s="367">
        <v>12960</v>
      </c>
      <c r="D126" s="367">
        <v>12890</v>
      </c>
      <c r="E126" s="367">
        <v>15530</v>
      </c>
      <c r="F126" s="367">
        <v>2910</v>
      </c>
      <c r="G126" s="373">
        <v>8520</v>
      </c>
    </row>
    <row r="127" s="348" customFormat="1" ht="14.25" customHeight="1" spans="1:7">
      <c r="A127" s="361" t="s">
        <v>273</v>
      </c>
      <c r="B127" s="362" t="s">
        <v>2246</v>
      </c>
      <c r="C127" s="363">
        <v>12280</v>
      </c>
      <c r="D127" s="363">
        <v>12250</v>
      </c>
      <c r="E127" s="363">
        <v>15130</v>
      </c>
      <c r="F127" s="363">
        <v>2710</v>
      </c>
      <c r="G127" s="363">
        <v>7870</v>
      </c>
    </row>
    <row r="128" s="348" customFormat="1" ht="14.25" customHeight="1" spans="1:7">
      <c r="A128" s="363" t="s">
        <v>273</v>
      </c>
      <c r="B128" s="363" t="s">
        <v>2259</v>
      </c>
      <c r="C128" s="363">
        <v>13180</v>
      </c>
      <c r="D128" s="363">
        <v>13150</v>
      </c>
      <c r="E128" s="363">
        <v>16190</v>
      </c>
      <c r="F128" s="363">
        <v>2820</v>
      </c>
      <c r="G128" s="363">
        <v>8460</v>
      </c>
    </row>
    <row r="129" s="348" customFormat="1" ht="14.25" customHeight="1" spans="1:7">
      <c r="A129" s="363" t="s">
        <v>273</v>
      </c>
      <c r="B129" s="363" t="s">
        <v>2273</v>
      </c>
      <c r="C129" s="363">
        <v>10950</v>
      </c>
      <c r="D129" s="363">
        <v>10920</v>
      </c>
      <c r="E129" s="363">
        <v>13820</v>
      </c>
      <c r="F129" s="363">
        <v>2500</v>
      </c>
      <c r="G129" s="363">
        <v>7020</v>
      </c>
    </row>
    <row r="130" s="348" customFormat="1" ht="14.25" customHeight="1" spans="1:7">
      <c r="A130" s="363" t="s">
        <v>273</v>
      </c>
      <c r="B130" s="363" t="s">
        <v>2285</v>
      </c>
      <c r="C130" s="363">
        <v>10910</v>
      </c>
      <c r="D130" s="363">
        <v>10860</v>
      </c>
      <c r="E130" s="363">
        <v>13730</v>
      </c>
      <c r="F130" s="363">
        <v>2760</v>
      </c>
      <c r="G130" s="363">
        <v>6990</v>
      </c>
    </row>
    <row r="131" s="348" customFormat="1" ht="14.25" customHeight="1" spans="1:7">
      <c r="A131" s="363" t="s">
        <v>273</v>
      </c>
      <c r="B131" s="363" t="s">
        <v>2297</v>
      </c>
      <c r="C131" s="363">
        <v>12910</v>
      </c>
      <c r="D131" s="363">
        <v>12870</v>
      </c>
      <c r="E131" s="363">
        <v>15720</v>
      </c>
      <c r="F131" s="363">
        <v>2750</v>
      </c>
      <c r="G131" s="363">
        <v>8280</v>
      </c>
    </row>
    <row r="132" s="348" customFormat="1" ht="14.25" customHeight="1" spans="1:7">
      <c r="A132" s="363" t="s">
        <v>273</v>
      </c>
      <c r="B132" s="363" t="s">
        <v>2308</v>
      </c>
      <c r="C132" s="363">
        <v>11910</v>
      </c>
      <c r="D132" s="363">
        <v>11860</v>
      </c>
      <c r="E132" s="363">
        <v>14730</v>
      </c>
      <c r="F132" s="363">
        <v>2360</v>
      </c>
      <c r="G132" s="363">
        <v>7630</v>
      </c>
    </row>
    <row r="133" s="348" customFormat="1" ht="14.25" customHeight="1" spans="1:7">
      <c r="A133" s="363" t="s">
        <v>273</v>
      </c>
      <c r="B133" s="363" t="s">
        <v>2319</v>
      </c>
      <c r="C133" s="363">
        <v>12270</v>
      </c>
      <c r="D133" s="363">
        <v>12210</v>
      </c>
      <c r="E133" s="363">
        <v>15010</v>
      </c>
      <c r="F133" s="363">
        <v>2580</v>
      </c>
      <c r="G133" s="363">
        <v>7860</v>
      </c>
    </row>
    <row r="134" s="348" customFormat="1" ht="14.25" customHeight="1" spans="1:7">
      <c r="A134" s="363" t="s">
        <v>273</v>
      </c>
      <c r="B134" s="363" t="s">
        <v>2330</v>
      </c>
      <c r="C134" s="363">
        <v>10800</v>
      </c>
      <c r="D134" s="363">
        <v>10780</v>
      </c>
      <c r="E134" s="363">
        <v>13640</v>
      </c>
      <c r="F134" s="363">
        <v>2110</v>
      </c>
      <c r="G134" s="363">
        <v>6930</v>
      </c>
    </row>
    <row r="135" s="348" customFormat="1" ht="14.25" customHeight="1" spans="1:7">
      <c r="A135" s="363" t="s">
        <v>273</v>
      </c>
      <c r="B135" s="363" t="s">
        <v>2340</v>
      </c>
      <c r="C135" s="363">
        <v>10430</v>
      </c>
      <c r="D135" s="363">
        <v>10390</v>
      </c>
      <c r="E135" s="363">
        <v>13140</v>
      </c>
      <c r="F135" s="363">
        <v>2240</v>
      </c>
      <c r="G135" s="363">
        <v>6680</v>
      </c>
    </row>
    <row r="136" s="348" customFormat="1" ht="14.25" customHeight="1" spans="1:7">
      <c r="A136" s="363" t="s">
        <v>273</v>
      </c>
      <c r="B136" s="363" t="s">
        <v>2350</v>
      </c>
      <c r="C136" s="363">
        <v>11930</v>
      </c>
      <c r="D136" s="363">
        <v>11880</v>
      </c>
      <c r="E136" s="363">
        <v>14770</v>
      </c>
      <c r="F136" s="363">
        <v>1970</v>
      </c>
      <c r="G136" s="363">
        <v>7640</v>
      </c>
    </row>
    <row r="137" s="348" customFormat="1" ht="14.25" customHeight="1" spans="1:7">
      <c r="A137" s="363" t="s">
        <v>273</v>
      </c>
      <c r="B137" s="363" t="s">
        <v>2360</v>
      </c>
      <c r="C137" s="363">
        <v>10470</v>
      </c>
      <c r="D137" s="363">
        <v>10430</v>
      </c>
      <c r="E137" s="363">
        <v>13190</v>
      </c>
      <c r="F137" s="363">
        <v>1990</v>
      </c>
      <c r="G137" s="363">
        <v>6710</v>
      </c>
    </row>
    <row r="138" s="348" customFormat="1" ht="14.25" customHeight="1" spans="1:7">
      <c r="A138" s="363" t="s">
        <v>273</v>
      </c>
      <c r="B138" s="363" t="s">
        <v>2370</v>
      </c>
      <c r="C138" s="363">
        <v>10410</v>
      </c>
      <c r="D138" s="363">
        <v>10380</v>
      </c>
      <c r="E138" s="363">
        <v>13130</v>
      </c>
      <c r="F138" s="363">
        <v>2030</v>
      </c>
      <c r="G138" s="363">
        <v>6680</v>
      </c>
    </row>
    <row r="139" s="348" customFormat="1" ht="14.25" customHeight="1" spans="1:7">
      <c r="A139" s="363" t="s">
        <v>273</v>
      </c>
      <c r="B139" s="363" t="s">
        <v>2380</v>
      </c>
      <c r="C139" s="363">
        <v>9460</v>
      </c>
      <c r="D139" s="363">
        <v>9410</v>
      </c>
      <c r="E139" s="363">
        <v>12050</v>
      </c>
      <c r="F139" s="363">
        <v>2140</v>
      </c>
      <c r="G139" s="363">
        <v>6050</v>
      </c>
    </row>
    <row r="140" s="348" customFormat="1" ht="14.25" customHeight="1" spans="1:7">
      <c r="A140" s="363" t="s">
        <v>273</v>
      </c>
      <c r="B140" s="363" t="s">
        <v>2390</v>
      </c>
      <c r="C140" s="363">
        <v>11030</v>
      </c>
      <c r="D140" s="363">
        <v>10980</v>
      </c>
      <c r="E140" s="363">
        <v>13880</v>
      </c>
      <c r="F140" s="363">
        <v>2210</v>
      </c>
      <c r="G140" s="363">
        <v>7060</v>
      </c>
    </row>
    <row r="141" s="348" customFormat="1" ht="14.25" customHeight="1" spans="1:7">
      <c r="A141" s="363" t="s">
        <v>273</v>
      </c>
      <c r="B141" s="363" t="s">
        <v>2400</v>
      </c>
      <c r="C141" s="363">
        <v>11200</v>
      </c>
      <c r="D141" s="363">
        <v>11150</v>
      </c>
      <c r="E141" s="363">
        <v>14100</v>
      </c>
      <c r="F141" s="363">
        <v>2470</v>
      </c>
      <c r="G141" s="363">
        <v>7170</v>
      </c>
    </row>
    <row r="142" s="348" customFormat="1" ht="14.25" customHeight="1" spans="1:7">
      <c r="A142" s="363" t="s">
        <v>273</v>
      </c>
      <c r="B142" s="363" t="s">
        <v>2410</v>
      </c>
      <c r="C142" s="363">
        <v>10780</v>
      </c>
      <c r="D142" s="363">
        <v>10730</v>
      </c>
      <c r="E142" s="363">
        <v>13540</v>
      </c>
      <c r="F142" s="363">
        <v>2280</v>
      </c>
      <c r="G142" s="363">
        <v>6900</v>
      </c>
    </row>
    <row r="143" s="348" customFormat="1" ht="14.25" customHeight="1" spans="1:7">
      <c r="A143" s="363" t="s">
        <v>273</v>
      </c>
      <c r="B143" s="363" t="s">
        <v>2420</v>
      </c>
      <c r="C143" s="363">
        <v>11550</v>
      </c>
      <c r="D143" s="363">
        <v>11490</v>
      </c>
      <c r="E143" s="363">
        <v>14480</v>
      </c>
      <c r="F143" s="363">
        <v>2070</v>
      </c>
      <c r="G143" s="363">
        <v>7390</v>
      </c>
    </row>
    <row r="144" s="348" customFormat="1" ht="14.25" customHeight="1" spans="1:7">
      <c r="A144" s="363" t="s">
        <v>273</v>
      </c>
      <c r="B144" s="363" t="s">
        <v>2430</v>
      </c>
      <c r="C144" s="363">
        <v>10720</v>
      </c>
      <c r="D144" s="363">
        <v>10680</v>
      </c>
      <c r="E144" s="363">
        <v>13480</v>
      </c>
      <c r="F144" s="363">
        <v>2440</v>
      </c>
      <c r="G144" s="363">
        <v>6870</v>
      </c>
    </row>
    <row r="145" s="348" customFormat="1" ht="14.25" customHeight="1" spans="1:7">
      <c r="A145" s="363" t="s">
        <v>273</v>
      </c>
      <c r="B145" s="363" t="s">
        <v>2440</v>
      </c>
      <c r="C145" s="363">
        <v>10340</v>
      </c>
      <c r="D145" s="363">
        <v>10290</v>
      </c>
      <c r="E145" s="363">
        <v>12880</v>
      </c>
      <c r="F145" s="363">
        <v>2650</v>
      </c>
      <c r="G145" s="363">
        <v>6620</v>
      </c>
    </row>
    <row r="146" s="348" customFormat="1" ht="14.25" customHeight="1" spans="1:7">
      <c r="A146" s="363" t="s">
        <v>273</v>
      </c>
      <c r="B146" s="363" t="s">
        <v>2450</v>
      </c>
      <c r="C146" s="363">
        <v>11890</v>
      </c>
      <c r="D146" s="363">
        <v>11830</v>
      </c>
      <c r="E146" s="363">
        <v>14670</v>
      </c>
      <c r="F146" s="363"/>
      <c r="G146" s="363">
        <v>7610</v>
      </c>
    </row>
    <row r="147" s="348" customFormat="1" ht="14.25" customHeight="1" spans="1:7">
      <c r="A147" s="363" t="s">
        <v>273</v>
      </c>
      <c r="B147" s="363" t="s">
        <v>2459</v>
      </c>
      <c r="C147" s="363">
        <v>12650</v>
      </c>
      <c r="D147" s="363">
        <v>12600</v>
      </c>
      <c r="E147" s="363">
        <v>15440</v>
      </c>
      <c r="F147" s="363"/>
      <c r="G147" s="363">
        <v>8110</v>
      </c>
    </row>
    <row r="148" s="348" customFormat="1" ht="14.25" customHeight="1" spans="1:7">
      <c r="A148" s="363" t="s">
        <v>273</v>
      </c>
      <c r="B148" s="363" t="s">
        <v>2467</v>
      </c>
      <c r="C148" s="363">
        <v>10370</v>
      </c>
      <c r="D148" s="363">
        <v>10310</v>
      </c>
      <c r="E148" s="363">
        <v>12970</v>
      </c>
      <c r="F148" s="363"/>
      <c r="G148" s="363">
        <v>6630</v>
      </c>
    </row>
    <row r="149" s="348" customFormat="1" ht="14.25" customHeight="1" spans="1:7">
      <c r="A149" s="363" t="s">
        <v>273</v>
      </c>
      <c r="B149" s="363" t="s">
        <v>2475</v>
      </c>
      <c r="C149" s="363">
        <v>11600</v>
      </c>
      <c r="D149" s="363">
        <v>11560</v>
      </c>
      <c r="E149" s="363">
        <v>14540</v>
      </c>
      <c r="F149" s="363">
        <v>2390</v>
      </c>
      <c r="G149" s="363">
        <v>7430</v>
      </c>
    </row>
    <row r="150" s="348" customFormat="1" ht="14.25" customHeight="1" spans="1:7">
      <c r="A150" s="363" t="s">
        <v>273</v>
      </c>
      <c r="B150" s="363" t="s">
        <v>2483</v>
      </c>
      <c r="C150" s="363">
        <v>9950</v>
      </c>
      <c r="D150" s="363">
        <v>9890</v>
      </c>
      <c r="E150" s="363">
        <v>12590</v>
      </c>
      <c r="F150" s="363">
        <v>1970</v>
      </c>
      <c r="G150" s="363">
        <v>6360</v>
      </c>
    </row>
    <row r="151" s="348" customFormat="1" ht="14.25" customHeight="1" spans="1:7">
      <c r="A151" s="363" t="s">
        <v>273</v>
      </c>
      <c r="B151" s="363" t="s">
        <v>2491</v>
      </c>
      <c r="C151" s="363">
        <v>10700</v>
      </c>
      <c r="D151" s="363">
        <v>10650</v>
      </c>
      <c r="E151" s="363">
        <v>13420</v>
      </c>
      <c r="F151" s="363">
        <v>2020</v>
      </c>
      <c r="G151" s="363">
        <v>6850</v>
      </c>
    </row>
    <row r="152" s="348" customFormat="1" ht="14.25" customHeight="1" spans="1:7">
      <c r="A152" s="363" t="s">
        <v>273</v>
      </c>
      <c r="B152" s="363" t="s">
        <v>2498</v>
      </c>
      <c r="C152" s="363">
        <v>10310</v>
      </c>
      <c r="D152" s="363">
        <v>10260</v>
      </c>
      <c r="E152" s="363">
        <v>12820</v>
      </c>
      <c r="F152" s="363">
        <v>1980</v>
      </c>
      <c r="G152" s="363">
        <v>6600</v>
      </c>
    </row>
    <row r="153" s="348" customFormat="1" ht="14.25" customHeight="1" spans="1:7">
      <c r="A153" s="363" t="s">
        <v>273</v>
      </c>
      <c r="B153" s="363" t="s">
        <v>2505</v>
      </c>
      <c r="C153" s="363">
        <v>10880</v>
      </c>
      <c r="D153" s="363">
        <v>10820</v>
      </c>
      <c r="E153" s="363">
        <v>13660</v>
      </c>
      <c r="F153" s="363">
        <v>2260</v>
      </c>
      <c r="G153" s="363">
        <v>6970</v>
      </c>
    </row>
    <row r="154" s="348" customFormat="1" ht="14.25" customHeight="1" spans="1:7">
      <c r="A154" s="363" t="s">
        <v>273</v>
      </c>
      <c r="B154" s="363" t="s">
        <v>2512</v>
      </c>
      <c r="C154" s="363">
        <v>11220</v>
      </c>
      <c r="D154" s="363">
        <v>11160</v>
      </c>
      <c r="E154" s="363">
        <v>14130</v>
      </c>
      <c r="F154" s="363">
        <v>2230</v>
      </c>
      <c r="G154" s="363">
        <v>7180</v>
      </c>
    </row>
    <row r="155" s="348" customFormat="1" ht="14.25" customHeight="1" spans="1:7">
      <c r="A155" s="363" t="s">
        <v>273</v>
      </c>
      <c r="B155" s="363" t="s">
        <v>2519</v>
      </c>
      <c r="C155" s="363">
        <v>10430</v>
      </c>
      <c r="D155" s="363">
        <v>10380</v>
      </c>
      <c r="E155" s="363">
        <v>13140</v>
      </c>
      <c r="F155" s="363">
        <v>2080</v>
      </c>
      <c r="G155" s="363">
        <v>6650</v>
      </c>
    </row>
    <row r="156" s="348" customFormat="1" ht="14.25" customHeight="1" spans="1:7">
      <c r="A156" s="363" t="s">
        <v>273</v>
      </c>
      <c r="B156" s="363" t="s">
        <v>2526</v>
      </c>
      <c r="C156" s="363">
        <v>10440</v>
      </c>
      <c r="D156" s="363">
        <v>10400</v>
      </c>
      <c r="E156" s="363">
        <v>13150</v>
      </c>
      <c r="F156" s="363">
        <v>2490</v>
      </c>
      <c r="G156" s="363">
        <v>6690</v>
      </c>
    </row>
    <row r="157" s="348" customFormat="1" ht="14.25" customHeight="1" spans="1:7">
      <c r="A157" s="363" t="s">
        <v>273</v>
      </c>
      <c r="B157" s="363" t="s">
        <v>2533</v>
      </c>
      <c r="C157" s="363">
        <v>10970</v>
      </c>
      <c r="D157" s="363">
        <v>10920</v>
      </c>
      <c r="E157" s="363">
        <v>13840</v>
      </c>
      <c r="F157" s="363">
        <v>2420</v>
      </c>
      <c r="G157" s="363">
        <v>7020</v>
      </c>
    </row>
    <row r="158" s="348" customFormat="1" ht="14.25" customHeight="1" spans="1:7">
      <c r="A158" s="363" t="s">
        <v>273</v>
      </c>
      <c r="B158" s="363" t="s">
        <v>2540</v>
      </c>
      <c r="C158" s="363">
        <v>9590</v>
      </c>
      <c r="D158" s="363">
        <v>9540</v>
      </c>
      <c r="E158" s="363">
        <v>12210</v>
      </c>
      <c r="F158" s="363">
        <v>2100</v>
      </c>
      <c r="G158" s="363">
        <v>6130</v>
      </c>
    </row>
    <row r="159" s="348" customFormat="1" ht="14.25" customHeight="1" spans="1:7">
      <c r="A159" s="363" t="s">
        <v>273</v>
      </c>
      <c r="B159" s="363" t="s">
        <v>2545</v>
      </c>
      <c r="C159" s="363">
        <v>11190</v>
      </c>
      <c r="D159" s="363">
        <v>11140</v>
      </c>
      <c r="E159" s="363">
        <v>14090</v>
      </c>
      <c r="F159" s="363">
        <v>2470</v>
      </c>
      <c r="G159" s="363">
        <v>7170</v>
      </c>
    </row>
    <row r="160" s="348" customFormat="1" ht="14.25" customHeight="1" spans="1:7">
      <c r="A160" s="363" t="s">
        <v>273</v>
      </c>
      <c r="B160" s="363" t="s">
        <v>2550</v>
      </c>
      <c r="C160" s="363">
        <v>11180</v>
      </c>
      <c r="D160" s="363">
        <v>11140</v>
      </c>
      <c r="E160" s="363">
        <v>14050</v>
      </c>
      <c r="F160" s="363">
        <v>2270</v>
      </c>
      <c r="G160" s="363">
        <v>7170</v>
      </c>
    </row>
    <row r="161" s="348" customFormat="1" ht="14.25" customHeight="1" spans="1:7">
      <c r="A161" s="363" t="s">
        <v>273</v>
      </c>
      <c r="B161" s="363" t="s">
        <v>2555</v>
      </c>
      <c r="C161" s="363">
        <v>11160</v>
      </c>
      <c r="D161" s="363">
        <v>11120</v>
      </c>
      <c r="E161" s="363">
        <v>14020</v>
      </c>
      <c r="F161" s="363">
        <v>2150</v>
      </c>
      <c r="G161" s="363">
        <v>7160</v>
      </c>
    </row>
    <row r="162" s="348" customFormat="1" ht="14.25" customHeight="1" spans="1:7">
      <c r="A162" s="363" t="s">
        <v>273</v>
      </c>
      <c r="B162" s="363" t="s">
        <v>2560</v>
      </c>
      <c r="C162" s="363">
        <v>9620</v>
      </c>
      <c r="D162" s="363">
        <v>9570</v>
      </c>
      <c r="E162" s="363">
        <v>12320</v>
      </c>
      <c r="F162" s="363">
        <v>2010</v>
      </c>
      <c r="G162" s="363">
        <v>6160</v>
      </c>
    </row>
    <row r="163" s="348" customFormat="1" ht="14.25" customHeight="1" spans="1:7">
      <c r="A163" s="363" t="s">
        <v>273</v>
      </c>
      <c r="B163" s="363" t="s">
        <v>2565</v>
      </c>
      <c r="C163" s="363">
        <v>9320</v>
      </c>
      <c r="D163" s="363">
        <v>9270</v>
      </c>
      <c r="E163" s="363">
        <v>11790</v>
      </c>
      <c r="F163" s="363">
        <v>1920</v>
      </c>
      <c r="G163" s="363">
        <v>5960</v>
      </c>
    </row>
    <row r="164" s="348" customFormat="1" ht="14.25" customHeight="1" spans="1:7">
      <c r="A164" s="363" t="s">
        <v>273</v>
      </c>
      <c r="B164" s="363" t="s">
        <v>2570</v>
      </c>
      <c r="C164" s="363"/>
      <c r="D164" s="363"/>
      <c r="E164" s="363"/>
      <c r="F164" s="363">
        <v>1980</v>
      </c>
      <c r="G164" s="363"/>
    </row>
    <row r="165" s="348" customFormat="1" ht="14.25" customHeight="1" spans="1:7">
      <c r="A165" s="363" t="s">
        <v>273</v>
      </c>
      <c r="B165" s="363" t="s">
        <v>2575</v>
      </c>
      <c r="C165" s="363">
        <v>11060</v>
      </c>
      <c r="D165" s="363">
        <v>11030</v>
      </c>
      <c r="E165" s="363">
        <v>13850</v>
      </c>
      <c r="F165" s="363">
        <v>2170</v>
      </c>
      <c r="G165" s="363">
        <v>7090</v>
      </c>
    </row>
    <row r="166" s="348" customFormat="1" ht="14.25" customHeight="1" spans="1:7">
      <c r="A166" s="363" t="s">
        <v>273</v>
      </c>
      <c r="B166" s="363" t="s">
        <v>2580</v>
      </c>
      <c r="C166" s="363">
        <v>11050</v>
      </c>
      <c r="D166" s="363">
        <v>11010</v>
      </c>
      <c r="E166" s="363">
        <v>13920</v>
      </c>
      <c r="F166" s="363">
        <v>2140</v>
      </c>
      <c r="G166" s="363">
        <v>7080</v>
      </c>
    </row>
    <row r="167" s="348" customFormat="1" ht="14.25" customHeight="1" spans="1:7">
      <c r="A167" s="363" t="s">
        <v>273</v>
      </c>
      <c r="B167" s="363" t="s">
        <v>2584</v>
      </c>
      <c r="C167" s="363">
        <v>10930</v>
      </c>
      <c r="D167" s="363">
        <v>10890</v>
      </c>
      <c r="E167" s="363">
        <v>13790</v>
      </c>
      <c r="F167" s="363">
        <v>2010</v>
      </c>
      <c r="G167" s="363">
        <v>7000</v>
      </c>
    </row>
    <row r="168" s="348" customFormat="1" ht="14.25" customHeight="1" spans="1:7">
      <c r="A168" s="363" t="s">
        <v>273</v>
      </c>
      <c r="B168" s="363" t="s">
        <v>2588</v>
      </c>
      <c r="C168" s="363">
        <v>9420</v>
      </c>
      <c r="D168" s="363">
        <v>9380</v>
      </c>
      <c r="E168" s="363">
        <v>11970</v>
      </c>
      <c r="F168" s="363"/>
      <c r="G168" s="363">
        <v>6040</v>
      </c>
    </row>
    <row r="169" s="348" customFormat="1" ht="14.25" customHeight="1" spans="1:7">
      <c r="A169" s="363" t="s">
        <v>273</v>
      </c>
      <c r="B169" s="363" t="s">
        <v>2592</v>
      </c>
      <c r="C169" s="363"/>
      <c r="D169" s="363"/>
      <c r="E169" s="363"/>
      <c r="F169" s="363">
        <v>2880</v>
      </c>
      <c r="G169" s="363"/>
    </row>
    <row r="170" s="348" customFormat="1" ht="14.25" customHeight="1" spans="1:7">
      <c r="A170" s="363" t="s">
        <v>273</v>
      </c>
      <c r="B170" s="363" t="s">
        <v>2596</v>
      </c>
      <c r="C170" s="363"/>
      <c r="D170" s="363"/>
      <c r="E170" s="363"/>
      <c r="F170" s="363">
        <v>2880</v>
      </c>
      <c r="G170" s="363"/>
    </row>
    <row r="171" s="348" customFormat="1" ht="14.25" customHeight="1" spans="1:7">
      <c r="A171" s="363" t="s">
        <v>273</v>
      </c>
      <c r="B171" s="363" t="s">
        <v>2599</v>
      </c>
      <c r="C171" s="363"/>
      <c r="D171" s="363"/>
      <c r="E171" s="363"/>
      <c r="F171" s="363">
        <v>2880</v>
      </c>
      <c r="G171" s="363"/>
    </row>
    <row r="172" s="348" customFormat="1" ht="14.25" customHeight="1" spans="1:7">
      <c r="A172" s="363" t="s">
        <v>273</v>
      </c>
      <c r="B172" s="363" t="s">
        <v>2601</v>
      </c>
      <c r="C172" s="363"/>
      <c r="D172" s="363"/>
      <c r="E172" s="363"/>
      <c r="F172" s="363">
        <v>2880</v>
      </c>
      <c r="G172" s="363"/>
    </row>
    <row r="173" s="348" customFormat="1" ht="14.25" customHeight="1" spans="1:7">
      <c r="A173" s="363" t="s">
        <v>273</v>
      </c>
      <c r="B173" s="363" t="s">
        <v>2603</v>
      </c>
      <c r="C173" s="363"/>
      <c r="D173" s="363"/>
      <c r="E173" s="363"/>
      <c r="F173" s="363">
        <v>2150</v>
      </c>
      <c r="G173" s="363"/>
    </row>
    <row r="174" s="348" customFormat="1" ht="14.25" customHeight="1" spans="1:7">
      <c r="A174" s="363" t="s">
        <v>273</v>
      </c>
      <c r="B174" s="363" t="s">
        <v>2605</v>
      </c>
      <c r="C174" s="363"/>
      <c r="D174" s="363"/>
      <c r="E174" s="363"/>
      <c r="F174" s="363">
        <v>2030</v>
      </c>
      <c r="G174" s="363"/>
    </row>
    <row r="175" s="348" customFormat="1" ht="14.25" customHeight="1" spans="1:7">
      <c r="A175" s="363" t="s">
        <v>273</v>
      </c>
      <c r="B175" s="363" t="s">
        <v>2607</v>
      </c>
      <c r="C175" s="363"/>
      <c r="D175" s="363"/>
      <c r="E175" s="363"/>
      <c r="F175" s="363">
        <v>2780</v>
      </c>
      <c r="G175" s="363"/>
    </row>
    <row r="176" s="348" customFormat="1" ht="14.25" customHeight="1" spans="1:7">
      <c r="A176" s="363" t="s">
        <v>273</v>
      </c>
      <c r="B176" s="363" t="s">
        <v>2609</v>
      </c>
      <c r="C176" s="363"/>
      <c r="D176" s="363"/>
      <c r="E176" s="363"/>
      <c r="F176" s="363">
        <v>2780</v>
      </c>
      <c r="G176" s="363"/>
    </row>
    <row r="177" s="348" customFormat="1" ht="14.25" customHeight="1" spans="1:7">
      <c r="A177" s="363" t="s">
        <v>273</v>
      </c>
      <c r="B177" s="363" t="s">
        <v>2611</v>
      </c>
      <c r="C177" s="363"/>
      <c r="D177" s="363"/>
      <c r="E177" s="363"/>
      <c r="F177" s="363">
        <v>2780</v>
      </c>
      <c r="G177" s="363"/>
    </row>
    <row r="178" s="348" customFormat="1" ht="14.25" customHeight="1" spans="1:7">
      <c r="A178" s="363" t="s">
        <v>273</v>
      </c>
      <c r="B178" s="363" t="s">
        <v>2612</v>
      </c>
      <c r="C178" s="363"/>
      <c r="D178" s="363"/>
      <c r="E178" s="363"/>
      <c r="F178" s="363">
        <v>2060</v>
      </c>
      <c r="G178" s="363"/>
    </row>
    <row r="179" s="348" customFormat="1" ht="14.25" customHeight="1" spans="1:7">
      <c r="A179" s="363" t="s">
        <v>273</v>
      </c>
      <c r="B179" s="363" t="s">
        <v>2613</v>
      </c>
      <c r="C179" s="363"/>
      <c r="D179" s="363"/>
      <c r="E179" s="363"/>
      <c r="F179" s="363">
        <v>2120</v>
      </c>
      <c r="G179" s="363"/>
    </row>
    <row r="180" s="348" customFormat="1" ht="14.25" customHeight="1" spans="1:7">
      <c r="A180" s="363" t="s">
        <v>273</v>
      </c>
      <c r="B180" s="363" t="s">
        <v>2614</v>
      </c>
      <c r="C180" s="363"/>
      <c r="D180" s="363"/>
      <c r="E180" s="363"/>
      <c r="F180" s="363">
        <v>2340</v>
      </c>
      <c r="G180" s="363"/>
    </row>
    <row r="181" s="348" customFormat="1" ht="14.25" customHeight="1" spans="1:7">
      <c r="A181" s="363" t="s">
        <v>273</v>
      </c>
      <c r="B181" s="363" t="s">
        <v>2615</v>
      </c>
      <c r="C181" s="363"/>
      <c r="D181" s="363"/>
      <c r="E181" s="363"/>
      <c r="F181" s="363">
        <v>2340</v>
      </c>
      <c r="G181" s="363"/>
    </row>
    <row r="182" s="348" customFormat="1" ht="14.25" customHeight="1" spans="1:7">
      <c r="A182" s="363" t="s">
        <v>273</v>
      </c>
      <c r="B182" s="363" t="s">
        <v>2616</v>
      </c>
      <c r="C182" s="363"/>
      <c r="D182" s="363"/>
      <c r="E182" s="363"/>
      <c r="F182" s="363">
        <v>2340</v>
      </c>
      <c r="G182" s="363"/>
    </row>
    <row r="183" s="348" customFormat="1" ht="14.25" customHeight="1" spans="1:7">
      <c r="A183" s="363" t="s">
        <v>273</v>
      </c>
      <c r="B183" s="363" t="s">
        <v>2617</v>
      </c>
      <c r="C183" s="363"/>
      <c r="D183" s="363"/>
      <c r="E183" s="363"/>
      <c r="F183" s="363">
        <v>2340</v>
      </c>
      <c r="G183" s="363"/>
    </row>
    <row r="184" s="348" customFormat="1" ht="14.25" customHeight="1" spans="1:7">
      <c r="A184" s="363" t="s">
        <v>273</v>
      </c>
      <c r="B184" s="363" t="s">
        <v>2618</v>
      </c>
      <c r="C184" s="363"/>
      <c r="D184" s="363"/>
      <c r="E184" s="363"/>
      <c r="F184" s="363">
        <v>2340</v>
      </c>
      <c r="G184" s="363"/>
    </row>
    <row r="185" s="348" customFormat="1" ht="14.25" customHeight="1" spans="1:7">
      <c r="A185" s="363" t="s">
        <v>273</v>
      </c>
      <c r="B185" s="363" t="s">
        <v>2619</v>
      </c>
      <c r="C185" s="363"/>
      <c r="D185" s="363"/>
      <c r="E185" s="363"/>
      <c r="F185" s="363">
        <v>2530</v>
      </c>
      <c r="G185" s="363"/>
    </row>
    <row r="186" s="348" customFormat="1" ht="14.25" customHeight="1" spans="1:7">
      <c r="A186" s="363" t="s">
        <v>273</v>
      </c>
      <c r="B186" s="363" t="s">
        <v>2620</v>
      </c>
      <c r="C186" s="363"/>
      <c r="D186" s="363"/>
      <c r="E186" s="363"/>
      <c r="F186" s="363">
        <v>2550</v>
      </c>
      <c r="G186" s="363"/>
    </row>
    <row r="187" s="348" customFormat="1" ht="14.25" customHeight="1" spans="1:7">
      <c r="A187" s="363" t="s">
        <v>273</v>
      </c>
      <c r="B187" s="363" t="s">
        <v>2621</v>
      </c>
      <c r="C187" s="363"/>
      <c r="D187" s="363"/>
      <c r="E187" s="363"/>
      <c r="F187" s="363">
        <v>2070</v>
      </c>
      <c r="G187" s="363"/>
    </row>
    <row r="188" s="348" customFormat="1" ht="14.25" customHeight="1" spans="1:7">
      <c r="A188" s="363" t="s">
        <v>273</v>
      </c>
      <c r="B188" s="363" t="s">
        <v>2622</v>
      </c>
      <c r="C188" s="363"/>
      <c r="D188" s="363"/>
      <c r="E188" s="363"/>
      <c r="F188" s="363">
        <v>2340</v>
      </c>
      <c r="G188" s="363"/>
    </row>
    <row r="189" s="348" customFormat="1" ht="14.25" customHeight="1" spans="1:7">
      <c r="A189" s="365" t="s">
        <v>273</v>
      </c>
      <c r="B189" s="369" t="s">
        <v>2623</v>
      </c>
      <c r="C189" s="369"/>
      <c r="D189" s="369"/>
      <c r="E189" s="369"/>
      <c r="F189" s="369">
        <v>2050</v>
      </c>
      <c r="G189" s="369"/>
    </row>
    <row r="190" s="348" customFormat="1" ht="14.25" customHeight="1" spans="1:7">
      <c r="A190" s="361" t="s">
        <v>278</v>
      </c>
      <c r="B190" s="362" t="s">
        <v>2247</v>
      </c>
      <c r="C190" s="362">
        <v>8830</v>
      </c>
      <c r="D190" s="362">
        <v>8790</v>
      </c>
      <c r="E190" s="362">
        <v>11630</v>
      </c>
      <c r="F190" s="362">
        <v>1790</v>
      </c>
      <c r="G190" s="370">
        <v>5550</v>
      </c>
    </row>
    <row r="191" s="348" customFormat="1" ht="14.25" customHeight="1" spans="1:7">
      <c r="A191" s="363" t="s">
        <v>278</v>
      </c>
      <c r="B191" s="363" t="s">
        <v>2260</v>
      </c>
      <c r="C191" s="363">
        <v>9780</v>
      </c>
      <c r="D191" s="363">
        <v>9710</v>
      </c>
      <c r="E191" s="363">
        <v>12550</v>
      </c>
      <c r="F191" s="363">
        <v>1980</v>
      </c>
      <c r="G191" s="371">
        <v>6130</v>
      </c>
    </row>
    <row r="192" s="348" customFormat="1" ht="14.25" customHeight="1" spans="1:7">
      <c r="A192" s="363" t="s">
        <v>278</v>
      </c>
      <c r="B192" s="363" t="s">
        <v>2274</v>
      </c>
      <c r="C192" s="363">
        <v>8180</v>
      </c>
      <c r="D192" s="363">
        <v>8140</v>
      </c>
      <c r="E192" s="363">
        <v>10870</v>
      </c>
      <c r="F192" s="363">
        <v>1690</v>
      </c>
      <c r="G192" s="371">
        <v>5140</v>
      </c>
    </row>
    <row r="193" s="348" customFormat="1" ht="14.25" customHeight="1" spans="1:7">
      <c r="A193" s="363" t="s">
        <v>278</v>
      </c>
      <c r="B193" s="363" t="s">
        <v>2286</v>
      </c>
      <c r="C193" s="363">
        <v>8440</v>
      </c>
      <c r="D193" s="363">
        <v>8390</v>
      </c>
      <c r="E193" s="363">
        <v>11210</v>
      </c>
      <c r="F193" s="363">
        <v>1600</v>
      </c>
      <c r="G193" s="371">
        <v>5300</v>
      </c>
    </row>
    <row r="194" s="348" customFormat="1" ht="14.25" customHeight="1" spans="1:7">
      <c r="A194" s="363" t="s">
        <v>278</v>
      </c>
      <c r="B194" s="363" t="s">
        <v>2298</v>
      </c>
      <c r="C194" s="363">
        <v>8780</v>
      </c>
      <c r="D194" s="363">
        <v>8730</v>
      </c>
      <c r="E194" s="363">
        <v>11550</v>
      </c>
      <c r="F194" s="363">
        <v>1660</v>
      </c>
      <c r="G194" s="371">
        <v>5520</v>
      </c>
    </row>
    <row r="195" s="348" customFormat="1" ht="14.25" customHeight="1" spans="1:7">
      <c r="A195" s="363" t="s">
        <v>278</v>
      </c>
      <c r="B195" s="363" t="s">
        <v>2309</v>
      </c>
      <c r="C195" s="363">
        <v>8720</v>
      </c>
      <c r="D195" s="363">
        <v>8670</v>
      </c>
      <c r="E195" s="363">
        <v>11450</v>
      </c>
      <c r="F195" s="363">
        <v>1720</v>
      </c>
      <c r="G195" s="371">
        <v>5480</v>
      </c>
    </row>
    <row r="196" s="348" customFormat="1" ht="14.25" customHeight="1" spans="1:7">
      <c r="A196" s="363" t="s">
        <v>278</v>
      </c>
      <c r="B196" s="363" t="s">
        <v>2320</v>
      </c>
      <c r="C196" s="363">
        <v>8460</v>
      </c>
      <c r="D196" s="363">
        <v>8410</v>
      </c>
      <c r="E196" s="363">
        <v>11230</v>
      </c>
      <c r="F196" s="363">
        <v>1730</v>
      </c>
      <c r="G196" s="371">
        <v>5310</v>
      </c>
    </row>
    <row r="197" s="348" customFormat="1" ht="14.25" customHeight="1" spans="1:7">
      <c r="A197" s="363" t="s">
        <v>278</v>
      </c>
      <c r="B197" s="363" t="s">
        <v>2331</v>
      </c>
      <c r="C197" s="363">
        <v>8790</v>
      </c>
      <c r="D197" s="363">
        <v>8730</v>
      </c>
      <c r="E197" s="363">
        <v>11560</v>
      </c>
      <c r="F197" s="363">
        <v>1750</v>
      </c>
      <c r="G197" s="371">
        <v>5520</v>
      </c>
    </row>
    <row r="198" s="348" customFormat="1" ht="14.25" customHeight="1" spans="1:7">
      <c r="A198" s="363" t="s">
        <v>278</v>
      </c>
      <c r="B198" s="363" t="s">
        <v>2341</v>
      </c>
      <c r="C198" s="363">
        <v>8720</v>
      </c>
      <c r="D198" s="363">
        <v>8680</v>
      </c>
      <c r="E198" s="363">
        <v>11470</v>
      </c>
      <c r="F198" s="363"/>
      <c r="G198" s="371">
        <v>5480</v>
      </c>
    </row>
    <row r="199" s="348" customFormat="1" ht="14.25" customHeight="1" spans="1:7">
      <c r="A199" s="363" t="s">
        <v>278</v>
      </c>
      <c r="B199" s="363" t="s">
        <v>2351</v>
      </c>
      <c r="C199" s="363">
        <v>8690</v>
      </c>
      <c r="D199" s="363">
        <v>8630</v>
      </c>
      <c r="E199" s="363">
        <v>11350</v>
      </c>
      <c r="F199" s="363">
        <v>1600</v>
      </c>
      <c r="G199" s="371">
        <v>5450</v>
      </c>
    </row>
    <row r="200" s="348" customFormat="1" ht="14.25" customHeight="1" spans="1:7">
      <c r="A200" s="363" t="s">
        <v>278</v>
      </c>
      <c r="B200" s="363" t="s">
        <v>2361</v>
      </c>
      <c r="C200" s="363"/>
      <c r="D200" s="363"/>
      <c r="E200" s="363"/>
      <c r="F200" s="363">
        <v>1510</v>
      </c>
      <c r="G200" s="371"/>
    </row>
    <row r="201" s="348" customFormat="1" ht="14.25" customHeight="1" spans="1:7">
      <c r="A201" s="363" t="s">
        <v>278</v>
      </c>
      <c r="B201" s="363" t="s">
        <v>2371</v>
      </c>
      <c r="C201" s="363">
        <v>8440</v>
      </c>
      <c r="D201" s="363">
        <v>8390</v>
      </c>
      <c r="E201" s="363">
        <v>10930</v>
      </c>
      <c r="F201" s="363">
        <v>1500</v>
      </c>
      <c r="G201" s="371">
        <v>5300</v>
      </c>
    </row>
    <row r="202" s="348" customFormat="1" ht="14.25" customHeight="1" spans="1:7">
      <c r="A202" s="363" t="s">
        <v>278</v>
      </c>
      <c r="B202" s="363" t="s">
        <v>2381</v>
      </c>
      <c r="C202" s="363">
        <v>8530</v>
      </c>
      <c r="D202" s="363">
        <v>8490</v>
      </c>
      <c r="E202" s="363">
        <v>11160</v>
      </c>
      <c r="F202" s="363">
        <v>1580</v>
      </c>
      <c r="G202" s="371">
        <v>5360</v>
      </c>
    </row>
    <row r="203" s="348" customFormat="1" ht="14.25" customHeight="1" spans="1:7">
      <c r="A203" s="363" t="s">
        <v>278</v>
      </c>
      <c r="B203" s="363" t="s">
        <v>2391</v>
      </c>
      <c r="C203" s="363">
        <v>8130</v>
      </c>
      <c r="D203" s="363">
        <v>8070</v>
      </c>
      <c r="E203" s="363">
        <v>10820</v>
      </c>
      <c r="F203" s="363">
        <v>1690</v>
      </c>
      <c r="G203" s="371">
        <v>5100</v>
      </c>
    </row>
    <row r="204" s="348" customFormat="1" ht="14.25" customHeight="1" spans="1:7">
      <c r="A204" s="363" t="s">
        <v>278</v>
      </c>
      <c r="B204" s="363" t="s">
        <v>2401</v>
      </c>
      <c r="C204" s="363">
        <v>8350</v>
      </c>
      <c r="D204" s="363">
        <v>8290</v>
      </c>
      <c r="E204" s="363">
        <v>11080</v>
      </c>
      <c r="F204" s="363">
        <v>1450</v>
      </c>
      <c r="G204" s="371">
        <v>5240</v>
      </c>
    </row>
    <row r="205" s="348" customFormat="1" ht="14.25" customHeight="1" spans="1:7">
      <c r="A205" s="363" t="s">
        <v>278</v>
      </c>
      <c r="B205" s="363" t="s">
        <v>2411</v>
      </c>
      <c r="C205" s="363">
        <v>7190</v>
      </c>
      <c r="D205" s="363">
        <v>7130</v>
      </c>
      <c r="E205" s="363">
        <v>9490</v>
      </c>
      <c r="F205" s="363">
        <v>1470</v>
      </c>
      <c r="G205" s="371">
        <v>4510</v>
      </c>
    </row>
    <row r="206" s="348" customFormat="1" ht="14.25" customHeight="1" spans="1:7">
      <c r="A206" s="363" t="s">
        <v>278</v>
      </c>
      <c r="B206" s="363" t="s">
        <v>2421</v>
      </c>
      <c r="C206" s="363">
        <v>7000</v>
      </c>
      <c r="D206" s="363">
        <v>6950</v>
      </c>
      <c r="E206" s="363">
        <v>9170</v>
      </c>
      <c r="F206" s="363">
        <v>1400</v>
      </c>
      <c r="G206" s="371">
        <v>4380</v>
      </c>
    </row>
    <row r="207" s="348" customFormat="1" ht="14.25" customHeight="1" spans="1:7">
      <c r="A207" s="363" t="s">
        <v>278</v>
      </c>
      <c r="B207" s="363" t="s">
        <v>2431</v>
      </c>
      <c r="C207" s="363">
        <v>6950</v>
      </c>
      <c r="D207" s="363">
        <v>6900</v>
      </c>
      <c r="E207" s="363">
        <v>9110</v>
      </c>
      <c r="F207" s="363">
        <v>1790</v>
      </c>
      <c r="G207" s="371">
        <v>4360</v>
      </c>
    </row>
    <row r="208" s="348" customFormat="1" ht="14.25" customHeight="1" spans="1:7">
      <c r="A208" s="363" t="s">
        <v>278</v>
      </c>
      <c r="B208" s="363" t="s">
        <v>2441</v>
      </c>
      <c r="C208" s="363">
        <v>9470</v>
      </c>
      <c r="D208" s="363">
        <v>9410</v>
      </c>
      <c r="E208" s="363">
        <v>12330</v>
      </c>
      <c r="F208" s="363">
        <v>1770</v>
      </c>
      <c r="G208" s="371">
        <v>5940</v>
      </c>
    </row>
    <row r="209" s="348" customFormat="1" ht="14.25" customHeight="1" spans="1:7">
      <c r="A209" s="363" t="s">
        <v>278</v>
      </c>
      <c r="B209" s="363" t="s">
        <v>2451</v>
      </c>
      <c r="C209" s="363">
        <v>8740</v>
      </c>
      <c r="D209" s="363">
        <v>8700</v>
      </c>
      <c r="E209" s="363">
        <v>11500</v>
      </c>
      <c r="F209" s="363">
        <v>1730</v>
      </c>
      <c r="G209" s="371">
        <v>5490</v>
      </c>
    </row>
    <row r="210" s="348" customFormat="1" ht="14.25" customHeight="1" spans="1:7">
      <c r="A210" s="363" t="s">
        <v>278</v>
      </c>
      <c r="B210" s="363" t="s">
        <v>2460</v>
      </c>
      <c r="C210" s="363">
        <v>8710</v>
      </c>
      <c r="D210" s="363">
        <v>8660</v>
      </c>
      <c r="E210" s="363">
        <v>11440</v>
      </c>
      <c r="F210" s="363">
        <v>1740</v>
      </c>
      <c r="G210" s="371">
        <v>5470</v>
      </c>
    </row>
    <row r="211" s="348" customFormat="1" ht="14.25" customHeight="1" spans="1:7">
      <c r="A211" s="363" t="s">
        <v>278</v>
      </c>
      <c r="B211" s="363" t="s">
        <v>2468</v>
      </c>
      <c r="C211" s="363">
        <v>9480</v>
      </c>
      <c r="D211" s="363">
        <v>9430</v>
      </c>
      <c r="E211" s="363">
        <v>12360</v>
      </c>
      <c r="F211" s="363">
        <v>1820</v>
      </c>
      <c r="G211" s="371">
        <v>5950</v>
      </c>
    </row>
    <row r="212" s="348" customFormat="1" ht="14.25" customHeight="1" spans="1:7">
      <c r="A212" s="363" t="s">
        <v>278</v>
      </c>
      <c r="B212" s="363" t="s">
        <v>2476</v>
      </c>
      <c r="C212" s="363">
        <v>9070</v>
      </c>
      <c r="D212" s="363">
        <v>9020</v>
      </c>
      <c r="E212" s="363">
        <v>11720</v>
      </c>
      <c r="F212" s="363">
        <v>1850</v>
      </c>
      <c r="G212" s="371">
        <v>5700</v>
      </c>
    </row>
    <row r="213" s="348" customFormat="1" ht="14.25" customHeight="1" spans="1:7">
      <c r="A213" s="363" t="s">
        <v>278</v>
      </c>
      <c r="B213" s="363" t="s">
        <v>2484</v>
      </c>
      <c r="C213" s="363">
        <v>9030</v>
      </c>
      <c r="D213" s="363">
        <v>8980</v>
      </c>
      <c r="E213" s="363">
        <v>11670</v>
      </c>
      <c r="F213" s="363">
        <v>1690</v>
      </c>
      <c r="G213" s="371">
        <v>5670</v>
      </c>
    </row>
    <row r="214" s="348" customFormat="1" ht="14.25" customHeight="1" spans="1:7">
      <c r="A214" s="363" t="s">
        <v>278</v>
      </c>
      <c r="B214" s="363" t="s">
        <v>2492</v>
      </c>
      <c r="C214" s="363">
        <v>8090</v>
      </c>
      <c r="D214" s="363">
        <v>8030</v>
      </c>
      <c r="E214" s="363">
        <v>10780</v>
      </c>
      <c r="F214" s="363">
        <v>1570</v>
      </c>
      <c r="G214" s="371">
        <v>5070</v>
      </c>
    </row>
    <row r="215" s="348" customFormat="1" ht="14.25" customHeight="1" spans="1:7">
      <c r="A215" s="363" t="s">
        <v>278</v>
      </c>
      <c r="B215" s="363" t="s">
        <v>2499</v>
      </c>
      <c r="C215" s="363">
        <v>7950</v>
      </c>
      <c r="D215" s="363">
        <v>7900</v>
      </c>
      <c r="E215" s="363">
        <v>10560</v>
      </c>
      <c r="F215" s="363">
        <v>1630</v>
      </c>
      <c r="G215" s="371">
        <v>4990</v>
      </c>
    </row>
    <row r="216" s="348" customFormat="1" ht="14.25" customHeight="1" spans="1:7">
      <c r="A216" s="363" t="s">
        <v>278</v>
      </c>
      <c r="B216" s="363" t="s">
        <v>2506</v>
      </c>
      <c r="C216" s="363">
        <v>8490</v>
      </c>
      <c r="D216" s="363">
        <v>8440</v>
      </c>
      <c r="E216" s="363">
        <v>11260</v>
      </c>
      <c r="F216" s="363">
        <v>1690</v>
      </c>
      <c r="G216" s="371">
        <v>5330</v>
      </c>
    </row>
    <row r="217" s="348" customFormat="1" ht="14.25" customHeight="1" spans="1:7">
      <c r="A217" s="363" t="s">
        <v>278</v>
      </c>
      <c r="B217" s="363" t="s">
        <v>2513</v>
      </c>
      <c r="C217" s="363">
        <v>8200</v>
      </c>
      <c r="D217" s="363">
        <v>8150</v>
      </c>
      <c r="E217" s="363">
        <v>10910</v>
      </c>
      <c r="F217" s="363">
        <v>1670</v>
      </c>
      <c r="G217" s="371">
        <v>5150</v>
      </c>
    </row>
    <row r="218" s="348" customFormat="1" ht="14.25" customHeight="1" spans="1:7">
      <c r="A218" s="363" t="s">
        <v>278</v>
      </c>
      <c r="B218" s="363" t="s">
        <v>2520</v>
      </c>
      <c r="C218" s="363"/>
      <c r="D218" s="363"/>
      <c r="E218" s="363"/>
      <c r="F218" s="363">
        <v>2040</v>
      </c>
      <c r="G218" s="371"/>
    </row>
    <row r="219" s="348" customFormat="1" ht="14.25" customHeight="1" spans="1:7">
      <c r="A219" s="363" t="s">
        <v>278</v>
      </c>
      <c r="B219" s="363" t="s">
        <v>2527</v>
      </c>
      <c r="C219" s="363"/>
      <c r="D219" s="363"/>
      <c r="E219" s="363"/>
      <c r="F219" s="363">
        <v>2040</v>
      </c>
      <c r="G219" s="371"/>
    </row>
    <row r="220" s="348" customFormat="1" ht="14.25" customHeight="1" spans="1:7">
      <c r="A220" s="363" t="s">
        <v>278</v>
      </c>
      <c r="B220" s="363" t="s">
        <v>2534</v>
      </c>
      <c r="C220" s="363"/>
      <c r="D220" s="363"/>
      <c r="E220" s="363"/>
      <c r="F220" s="363">
        <v>2040</v>
      </c>
      <c r="G220" s="371"/>
    </row>
    <row r="221" s="348" customFormat="1" ht="14.25" customHeight="1" spans="1:7">
      <c r="A221" s="363" t="s">
        <v>278</v>
      </c>
      <c r="B221" s="363" t="s">
        <v>2541</v>
      </c>
      <c r="C221" s="363"/>
      <c r="D221" s="363"/>
      <c r="E221" s="363"/>
      <c r="F221" s="363">
        <v>2040</v>
      </c>
      <c r="G221" s="371"/>
    </row>
    <row r="222" s="348" customFormat="1" ht="14.25" customHeight="1" spans="1:7">
      <c r="A222" s="363" t="s">
        <v>278</v>
      </c>
      <c r="B222" s="363" t="s">
        <v>2546</v>
      </c>
      <c r="C222" s="363"/>
      <c r="D222" s="363"/>
      <c r="E222" s="363"/>
      <c r="F222" s="363">
        <v>2040</v>
      </c>
      <c r="G222" s="371"/>
    </row>
    <row r="223" s="348" customFormat="1" ht="14.25" customHeight="1" spans="1:7">
      <c r="A223" s="363" t="s">
        <v>278</v>
      </c>
      <c r="B223" s="363" t="s">
        <v>2551</v>
      </c>
      <c r="C223" s="363"/>
      <c r="D223" s="363"/>
      <c r="E223" s="363"/>
      <c r="F223" s="363">
        <v>1930</v>
      </c>
      <c r="G223" s="371"/>
    </row>
    <row r="224" s="348" customFormat="1" ht="14.25" customHeight="1" spans="1:7">
      <c r="A224" s="363" t="s">
        <v>278</v>
      </c>
      <c r="B224" s="363" t="s">
        <v>2556</v>
      </c>
      <c r="C224" s="363"/>
      <c r="D224" s="363"/>
      <c r="E224" s="363"/>
      <c r="F224" s="363">
        <v>1930</v>
      </c>
      <c r="G224" s="371"/>
    </row>
    <row r="225" s="348" customFormat="1" ht="14.25" customHeight="1" spans="1:7">
      <c r="A225" s="363" t="s">
        <v>278</v>
      </c>
      <c r="B225" s="363" t="s">
        <v>2561</v>
      </c>
      <c r="C225" s="363"/>
      <c r="D225" s="363"/>
      <c r="E225" s="363"/>
      <c r="F225" s="363">
        <v>1930</v>
      </c>
      <c r="G225" s="371"/>
    </row>
    <row r="226" s="348" customFormat="1" ht="14.25" customHeight="1" spans="1:7">
      <c r="A226" s="363" t="s">
        <v>278</v>
      </c>
      <c r="B226" s="363" t="s">
        <v>2566</v>
      </c>
      <c r="C226" s="363"/>
      <c r="D226" s="363"/>
      <c r="E226" s="363"/>
      <c r="F226" s="363">
        <v>1700</v>
      </c>
      <c r="G226" s="371"/>
    </row>
    <row r="227" s="348" customFormat="1" ht="14.25" customHeight="1" spans="1:7">
      <c r="A227" s="363" t="s">
        <v>278</v>
      </c>
      <c r="B227" s="363" t="s">
        <v>2571</v>
      </c>
      <c r="C227" s="363"/>
      <c r="D227" s="363"/>
      <c r="E227" s="363"/>
      <c r="F227" s="363">
        <v>1520</v>
      </c>
      <c r="G227" s="371"/>
    </row>
    <row r="228" s="348" customFormat="1" ht="14.25" customHeight="1" spans="1:7">
      <c r="A228" s="363" t="s">
        <v>278</v>
      </c>
      <c r="B228" s="363" t="s">
        <v>2576</v>
      </c>
      <c r="C228" s="363"/>
      <c r="D228" s="363"/>
      <c r="E228" s="363"/>
      <c r="F228" s="363">
        <v>1520</v>
      </c>
      <c r="G228" s="371"/>
    </row>
    <row r="229" s="348" customFormat="1" ht="14.25" customHeight="1" spans="1:7">
      <c r="A229" s="363" t="s">
        <v>278</v>
      </c>
      <c r="B229" s="363" t="s">
        <v>2581</v>
      </c>
      <c r="C229" s="363"/>
      <c r="D229" s="363"/>
      <c r="E229" s="363"/>
      <c r="F229" s="363">
        <v>1520</v>
      </c>
      <c r="G229" s="371"/>
    </row>
    <row r="230" s="348" customFormat="1" ht="14.25" customHeight="1" spans="1:7">
      <c r="A230" s="363" t="s">
        <v>278</v>
      </c>
      <c r="B230" s="363" t="s">
        <v>2585</v>
      </c>
      <c r="C230" s="363"/>
      <c r="D230" s="363"/>
      <c r="E230" s="363"/>
      <c r="F230" s="363">
        <v>1820</v>
      </c>
      <c r="G230" s="371"/>
    </row>
    <row r="231" s="348" customFormat="1" ht="14.25" customHeight="1" spans="1:7">
      <c r="A231" s="363" t="s">
        <v>278</v>
      </c>
      <c r="B231" s="363" t="s">
        <v>2589</v>
      </c>
      <c r="C231" s="363"/>
      <c r="D231" s="363"/>
      <c r="E231" s="363"/>
      <c r="F231" s="363">
        <v>1760</v>
      </c>
      <c r="G231" s="371"/>
    </row>
    <row r="232" s="348" customFormat="1" ht="14.25" customHeight="1" spans="1:7">
      <c r="A232" s="363" t="s">
        <v>278</v>
      </c>
      <c r="B232" s="363" t="s">
        <v>2593</v>
      </c>
      <c r="C232" s="363"/>
      <c r="D232" s="363"/>
      <c r="E232" s="363"/>
      <c r="F232" s="363">
        <v>1840</v>
      </c>
      <c r="G232" s="371"/>
    </row>
    <row r="233" s="348" customFormat="1" ht="14.25" customHeight="1" spans="1:7">
      <c r="A233" s="372" t="s">
        <v>278</v>
      </c>
      <c r="B233" s="367" t="s">
        <v>2597</v>
      </c>
      <c r="C233" s="367"/>
      <c r="D233" s="367"/>
      <c r="E233" s="367"/>
      <c r="F233" s="367">
        <v>1770</v>
      </c>
      <c r="G233" s="373"/>
    </row>
    <row r="234" s="348" customFormat="1" ht="14.25" customHeight="1" spans="1:7">
      <c r="A234" s="361" t="s">
        <v>284</v>
      </c>
      <c r="B234" s="362" t="s">
        <v>2248</v>
      </c>
      <c r="C234" s="363">
        <v>6980</v>
      </c>
      <c r="D234" s="363">
        <v>6970</v>
      </c>
      <c r="E234" s="363">
        <v>8720</v>
      </c>
      <c r="F234" s="363">
        <v>1350</v>
      </c>
      <c r="G234" s="363">
        <v>4280</v>
      </c>
    </row>
    <row r="235" s="348" customFormat="1" ht="14.25" customHeight="1" spans="1:7">
      <c r="A235" s="363" t="s">
        <v>284</v>
      </c>
      <c r="B235" s="363" t="s">
        <v>2261</v>
      </c>
      <c r="C235" s="363">
        <v>7620</v>
      </c>
      <c r="D235" s="363">
        <v>7580</v>
      </c>
      <c r="E235" s="363">
        <v>9360</v>
      </c>
      <c r="F235" s="363">
        <v>1490</v>
      </c>
      <c r="G235" s="363">
        <v>4650</v>
      </c>
    </row>
    <row r="236" s="348" customFormat="1" ht="14.25" customHeight="1" spans="1:7">
      <c r="A236" s="363" t="s">
        <v>284</v>
      </c>
      <c r="B236" s="363" t="s">
        <v>2275</v>
      </c>
      <c r="C236" s="363">
        <v>6650</v>
      </c>
      <c r="D236" s="363">
        <v>6630</v>
      </c>
      <c r="E236" s="363">
        <v>8330</v>
      </c>
      <c r="F236" s="363">
        <v>1250</v>
      </c>
      <c r="G236" s="363">
        <v>4070</v>
      </c>
    </row>
    <row r="237" s="348" customFormat="1" ht="14.25" customHeight="1" spans="1:7">
      <c r="A237" s="363" t="s">
        <v>284</v>
      </c>
      <c r="B237" s="363" t="s">
        <v>2287</v>
      </c>
      <c r="C237" s="363">
        <v>5850</v>
      </c>
      <c r="D237" s="363">
        <v>5820</v>
      </c>
      <c r="E237" s="363">
        <v>7260</v>
      </c>
      <c r="F237" s="363">
        <v>1140</v>
      </c>
      <c r="G237" s="363">
        <v>3570</v>
      </c>
    </row>
    <row r="238" s="348" customFormat="1" ht="14.25" customHeight="1" spans="1:7">
      <c r="A238" s="363" t="s">
        <v>284</v>
      </c>
      <c r="B238" s="363" t="s">
        <v>2299</v>
      </c>
      <c r="C238" s="363">
        <v>6920</v>
      </c>
      <c r="D238" s="363">
        <v>6890</v>
      </c>
      <c r="E238" s="363">
        <v>8640</v>
      </c>
      <c r="F238" s="363">
        <v>1310</v>
      </c>
      <c r="G238" s="363">
        <v>4230</v>
      </c>
    </row>
    <row r="239" s="348" customFormat="1" ht="14.25" customHeight="1" spans="1:7">
      <c r="A239" s="363" t="s">
        <v>284</v>
      </c>
      <c r="B239" s="363" t="s">
        <v>2310</v>
      </c>
      <c r="C239" s="363">
        <v>6780</v>
      </c>
      <c r="D239" s="363">
        <v>6750</v>
      </c>
      <c r="E239" s="363">
        <v>8440</v>
      </c>
      <c r="F239" s="363">
        <v>1160</v>
      </c>
      <c r="G239" s="363">
        <v>4140</v>
      </c>
    </row>
    <row r="240" s="348" customFormat="1" ht="14.25" customHeight="1" spans="1:7">
      <c r="A240" s="363" t="s">
        <v>284</v>
      </c>
      <c r="B240" s="363" t="s">
        <v>2321</v>
      </c>
      <c r="C240" s="363">
        <v>5420</v>
      </c>
      <c r="D240" s="363">
        <v>5380</v>
      </c>
      <c r="E240" s="363">
        <v>6640</v>
      </c>
      <c r="F240" s="363">
        <v>1020</v>
      </c>
      <c r="G240" s="363">
        <v>3300</v>
      </c>
    </row>
    <row r="241" s="348" customFormat="1" ht="14.25" customHeight="1" spans="1:7">
      <c r="A241" s="363" t="s">
        <v>284</v>
      </c>
      <c r="B241" s="363" t="s">
        <v>2332</v>
      </c>
      <c r="C241" s="363">
        <v>6660</v>
      </c>
      <c r="D241" s="363">
        <v>6640</v>
      </c>
      <c r="E241" s="363">
        <v>8340</v>
      </c>
      <c r="F241" s="363">
        <v>1130</v>
      </c>
      <c r="G241" s="363">
        <v>4080</v>
      </c>
    </row>
    <row r="242" s="348" customFormat="1" ht="14.25" customHeight="1" spans="1:7">
      <c r="A242" s="363" t="s">
        <v>284</v>
      </c>
      <c r="B242" s="363" t="s">
        <v>2342</v>
      </c>
      <c r="C242" s="363">
        <v>6580</v>
      </c>
      <c r="D242" s="363">
        <v>6550</v>
      </c>
      <c r="E242" s="363">
        <v>8090</v>
      </c>
      <c r="F242" s="363">
        <v>1240</v>
      </c>
      <c r="G242" s="363">
        <v>4020</v>
      </c>
    </row>
    <row r="243" s="348" customFormat="1" ht="14.25" customHeight="1" spans="1:7">
      <c r="A243" s="363" t="s">
        <v>284</v>
      </c>
      <c r="B243" s="363" t="s">
        <v>2352</v>
      </c>
      <c r="C243" s="363">
        <v>6000</v>
      </c>
      <c r="D243" s="363">
        <v>5970</v>
      </c>
      <c r="E243" s="363">
        <v>7370</v>
      </c>
      <c r="F243" s="363">
        <v>1070</v>
      </c>
      <c r="G243" s="363">
        <v>3670</v>
      </c>
    </row>
    <row r="244" s="348" customFormat="1" ht="14.25" customHeight="1" spans="1:7">
      <c r="A244" s="363" t="s">
        <v>284</v>
      </c>
      <c r="B244" s="363" t="s">
        <v>2362</v>
      </c>
      <c r="C244" s="363">
        <v>5840</v>
      </c>
      <c r="D244" s="363">
        <v>5810</v>
      </c>
      <c r="E244" s="363">
        <v>7240</v>
      </c>
      <c r="F244" s="363">
        <v>1100</v>
      </c>
      <c r="G244" s="363">
        <v>3560</v>
      </c>
    </row>
    <row r="245" s="348" customFormat="1" ht="14.25" customHeight="1" spans="1:7">
      <c r="A245" s="363" t="s">
        <v>284</v>
      </c>
      <c r="B245" s="363" t="s">
        <v>2372</v>
      </c>
      <c r="C245" s="363">
        <v>6040</v>
      </c>
      <c r="D245" s="363">
        <v>6000</v>
      </c>
      <c r="E245" s="363">
        <v>7420</v>
      </c>
      <c r="F245" s="363">
        <v>1140</v>
      </c>
      <c r="G245" s="363">
        <v>3690</v>
      </c>
    </row>
    <row r="246" s="348" customFormat="1" ht="14.25" customHeight="1" spans="1:7">
      <c r="A246" s="363" t="s">
        <v>284</v>
      </c>
      <c r="B246" s="363" t="s">
        <v>2382</v>
      </c>
      <c r="C246" s="363">
        <v>5890</v>
      </c>
      <c r="D246" s="363">
        <v>5860</v>
      </c>
      <c r="E246" s="363">
        <v>7300</v>
      </c>
      <c r="F246" s="363">
        <v>1110</v>
      </c>
      <c r="G246" s="363">
        <v>3590</v>
      </c>
    </row>
    <row r="247" s="348" customFormat="1" ht="14.25" customHeight="1" spans="1:7">
      <c r="A247" s="363" t="s">
        <v>284</v>
      </c>
      <c r="B247" s="363" t="s">
        <v>2392</v>
      </c>
      <c r="C247" s="363">
        <v>6480</v>
      </c>
      <c r="D247" s="363">
        <v>6450</v>
      </c>
      <c r="E247" s="363">
        <v>8010</v>
      </c>
      <c r="F247" s="363">
        <v>1170</v>
      </c>
      <c r="G247" s="363">
        <v>3960</v>
      </c>
    </row>
    <row r="248" s="348" customFormat="1" ht="14.25" customHeight="1" spans="1:7">
      <c r="A248" s="363" t="s">
        <v>284</v>
      </c>
      <c r="B248" s="363" t="s">
        <v>2402</v>
      </c>
      <c r="C248" s="363">
        <v>6860</v>
      </c>
      <c r="D248" s="363">
        <v>6840</v>
      </c>
      <c r="E248" s="363">
        <v>8520</v>
      </c>
      <c r="F248" s="363">
        <v>1240</v>
      </c>
      <c r="G248" s="363">
        <v>4200</v>
      </c>
    </row>
    <row r="249" s="348" customFormat="1" ht="14.25" customHeight="1" spans="1:7">
      <c r="A249" s="363" t="s">
        <v>284</v>
      </c>
      <c r="B249" s="363" t="s">
        <v>2412</v>
      </c>
      <c r="C249" s="363">
        <v>7180</v>
      </c>
      <c r="D249" s="363">
        <v>7140</v>
      </c>
      <c r="E249" s="363">
        <v>8900</v>
      </c>
      <c r="F249" s="363">
        <v>1350</v>
      </c>
      <c r="G249" s="363">
        <v>4380</v>
      </c>
    </row>
    <row r="250" s="348" customFormat="1" ht="14.25" customHeight="1" spans="1:7">
      <c r="A250" s="363" t="s">
        <v>284</v>
      </c>
      <c r="B250" s="363" t="s">
        <v>2422</v>
      </c>
      <c r="C250" s="363">
        <v>6880</v>
      </c>
      <c r="D250" s="363">
        <v>6860</v>
      </c>
      <c r="E250" s="363">
        <v>8550</v>
      </c>
      <c r="F250" s="363">
        <v>1220</v>
      </c>
      <c r="G250" s="363">
        <v>4210</v>
      </c>
    </row>
    <row r="251" s="348" customFormat="1" ht="14.25" customHeight="1" spans="1:7">
      <c r="A251" s="363" t="s">
        <v>284</v>
      </c>
      <c r="B251" s="363" t="s">
        <v>2432</v>
      </c>
      <c r="C251" s="363"/>
      <c r="D251" s="363"/>
      <c r="E251" s="363"/>
      <c r="F251" s="363">
        <v>1100</v>
      </c>
      <c r="G251" s="363"/>
    </row>
    <row r="252" s="348" customFormat="1" ht="14.25" customHeight="1" spans="1:7">
      <c r="A252" s="363" t="s">
        <v>284</v>
      </c>
      <c r="B252" s="363" t="s">
        <v>2442</v>
      </c>
      <c r="C252" s="363">
        <v>7240</v>
      </c>
      <c r="D252" s="363">
        <v>7200</v>
      </c>
      <c r="E252" s="363">
        <v>9040</v>
      </c>
      <c r="F252" s="363">
        <v>1380</v>
      </c>
      <c r="G252" s="363">
        <v>4420</v>
      </c>
    </row>
    <row r="253" s="348" customFormat="1" ht="14.25" customHeight="1" spans="1:7">
      <c r="A253" s="363" t="s">
        <v>284</v>
      </c>
      <c r="B253" s="363" t="s">
        <v>2452</v>
      </c>
      <c r="C253" s="363">
        <v>6670</v>
      </c>
      <c r="D253" s="363">
        <v>6650</v>
      </c>
      <c r="E253" s="363">
        <v>8350</v>
      </c>
      <c r="F253" s="363">
        <v>1260</v>
      </c>
      <c r="G253" s="363">
        <v>4080</v>
      </c>
    </row>
    <row r="254" s="348" customFormat="1" ht="14.25" customHeight="1" spans="1:7">
      <c r="A254" s="363" t="s">
        <v>284</v>
      </c>
      <c r="B254" s="363" t="s">
        <v>2461</v>
      </c>
      <c r="C254" s="363">
        <v>7630</v>
      </c>
      <c r="D254" s="363">
        <v>7590</v>
      </c>
      <c r="E254" s="363">
        <v>9380</v>
      </c>
      <c r="F254" s="363">
        <v>1320</v>
      </c>
      <c r="G254" s="363">
        <v>4660</v>
      </c>
    </row>
    <row r="255" s="348" customFormat="1" ht="14.25" customHeight="1" spans="1:7">
      <c r="A255" s="363" t="s">
        <v>284</v>
      </c>
      <c r="B255" s="363" t="s">
        <v>2469</v>
      </c>
      <c r="C255" s="363">
        <v>6940</v>
      </c>
      <c r="D255" s="363">
        <v>6890</v>
      </c>
      <c r="E255" s="363">
        <v>8650</v>
      </c>
      <c r="F255" s="363">
        <v>1210</v>
      </c>
      <c r="G255" s="363">
        <v>4230</v>
      </c>
    </row>
    <row r="256" s="348" customFormat="1" ht="14.25" customHeight="1" spans="1:7">
      <c r="A256" s="363" t="s">
        <v>284</v>
      </c>
      <c r="B256" s="363" t="s">
        <v>2477</v>
      </c>
      <c r="C256" s="363">
        <v>7520</v>
      </c>
      <c r="D256" s="363">
        <v>7490</v>
      </c>
      <c r="E256" s="363">
        <v>9240</v>
      </c>
      <c r="F256" s="363">
        <v>1270</v>
      </c>
      <c r="G256" s="363">
        <v>4590</v>
      </c>
    </row>
    <row r="257" s="348" customFormat="1" ht="14.25" customHeight="1" spans="1:7">
      <c r="A257" s="363" t="s">
        <v>284</v>
      </c>
      <c r="B257" s="363" t="s">
        <v>2485</v>
      </c>
      <c r="C257" s="363">
        <v>6280</v>
      </c>
      <c r="D257" s="363">
        <v>6230</v>
      </c>
      <c r="E257" s="363">
        <v>7740</v>
      </c>
      <c r="F257" s="363">
        <v>1080</v>
      </c>
      <c r="G257" s="363">
        <v>3830</v>
      </c>
    </row>
    <row r="258" s="348" customFormat="1" ht="14.25" customHeight="1" spans="1:7">
      <c r="A258" s="363" t="s">
        <v>284</v>
      </c>
      <c r="B258" s="363" t="s">
        <v>2493</v>
      </c>
      <c r="C258" s="363">
        <v>6190</v>
      </c>
      <c r="D258" s="363">
        <v>6160</v>
      </c>
      <c r="E258" s="363">
        <v>7680</v>
      </c>
      <c r="F258" s="363">
        <v>1170</v>
      </c>
      <c r="G258" s="363">
        <v>3780</v>
      </c>
    </row>
    <row r="259" s="348" customFormat="1" ht="14.25" customHeight="1" spans="1:7">
      <c r="A259" s="363" t="s">
        <v>284</v>
      </c>
      <c r="B259" s="363" t="s">
        <v>2500</v>
      </c>
      <c r="C259" s="363">
        <v>7610</v>
      </c>
      <c r="D259" s="363">
        <v>7570</v>
      </c>
      <c r="E259" s="363">
        <v>9350</v>
      </c>
      <c r="F259" s="363">
        <v>1350</v>
      </c>
      <c r="G259" s="363">
        <v>4650</v>
      </c>
    </row>
    <row r="260" s="348" customFormat="1" ht="14.25" customHeight="1" spans="1:7">
      <c r="A260" s="363" t="s">
        <v>284</v>
      </c>
      <c r="B260" s="363" t="s">
        <v>2507</v>
      </c>
      <c r="C260" s="363">
        <v>6920</v>
      </c>
      <c r="D260" s="363">
        <v>6880</v>
      </c>
      <c r="E260" s="363">
        <v>8380</v>
      </c>
      <c r="F260" s="363">
        <v>1160</v>
      </c>
      <c r="G260" s="363">
        <v>4220</v>
      </c>
    </row>
    <row r="261" s="348" customFormat="1" ht="14.25" customHeight="1" spans="1:7">
      <c r="A261" s="363" t="s">
        <v>284</v>
      </c>
      <c r="B261" s="363" t="s">
        <v>2514</v>
      </c>
      <c r="C261" s="363">
        <v>6850</v>
      </c>
      <c r="D261" s="363">
        <v>6810</v>
      </c>
      <c r="E261" s="363">
        <v>8290</v>
      </c>
      <c r="F261" s="363">
        <v>1130</v>
      </c>
      <c r="G261" s="363">
        <v>4180</v>
      </c>
    </row>
    <row r="262" s="348" customFormat="1" ht="14.25" customHeight="1" spans="1:7">
      <c r="A262" s="363" t="s">
        <v>284</v>
      </c>
      <c r="B262" s="363" t="s">
        <v>2521</v>
      </c>
      <c r="C262" s="363">
        <v>5860</v>
      </c>
      <c r="D262" s="363">
        <v>5820</v>
      </c>
      <c r="E262" s="363">
        <v>7640</v>
      </c>
      <c r="F262" s="363">
        <v>1070</v>
      </c>
      <c r="G262" s="363">
        <v>3570</v>
      </c>
    </row>
    <row r="263" s="348" customFormat="1" ht="14.25" customHeight="1" spans="1:7">
      <c r="A263" s="363" t="s">
        <v>284</v>
      </c>
      <c r="B263" s="363" t="s">
        <v>2528</v>
      </c>
      <c r="C263" s="363">
        <v>5870</v>
      </c>
      <c r="D263" s="363">
        <v>5840</v>
      </c>
      <c r="E263" s="363">
        <v>7270</v>
      </c>
      <c r="F263" s="363">
        <v>1190</v>
      </c>
      <c r="G263" s="363">
        <v>3580</v>
      </c>
    </row>
    <row r="264" s="348" customFormat="1" ht="14.25" customHeight="1" spans="1:7">
      <c r="A264" s="363" t="s">
        <v>284</v>
      </c>
      <c r="B264" s="363" t="s">
        <v>2535</v>
      </c>
      <c r="C264" s="363">
        <v>6190</v>
      </c>
      <c r="D264" s="363">
        <v>6150</v>
      </c>
      <c r="E264" s="363">
        <v>7660</v>
      </c>
      <c r="F264" s="363">
        <v>1160</v>
      </c>
      <c r="G264" s="363">
        <v>3770</v>
      </c>
    </row>
    <row r="265" s="348" customFormat="1" ht="14.25" customHeight="1" spans="1:7">
      <c r="A265" s="363" t="s">
        <v>284</v>
      </c>
      <c r="B265" s="363" t="s">
        <v>2542</v>
      </c>
      <c r="C265" s="363"/>
      <c r="D265" s="363"/>
      <c r="E265" s="363"/>
      <c r="F265" s="363">
        <v>1500</v>
      </c>
      <c r="G265" s="363"/>
    </row>
    <row r="266" s="348" customFormat="1" ht="14.25" customHeight="1" spans="1:7">
      <c r="A266" s="363" t="s">
        <v>284</v>
      </c>
      <c r="B266" s="363" t="s">
        <v>2547</v>
      </c>
      <c r="C266" s="363"/>
      <c r="D266" s="363"/>
      <c r="E266" s="363"/>
      <c r="F266" s="363">
        <v>1500</v>
      </c>
      <c r="G266" s="363"/>
    </row>
    <row r="267" s="348" customFormat="1" ht="14.25" customHeight="1" spans="1:7">
      <c r="A267" s="363" t="s">
        <v>284</v>
      </c>
      <c r="B267" s="363" t="s">
        <v>2552</v>
      </c>
      <c r="C267" s="363"/>
      <c r="D267" s="363"/>
      <c r="E267" s="363"/>
      <c r="F267" s="363">
        <v>1500</v>
      </c>
      <c r="G267" s="363"/>
    </row>
    <row r="268" s="348" customFormat="1" ht="14.25" customHeight="1" spans="1:7">
      <c r="A268" s="363" t="s">
        <v>284</v>
      </c>
      <c r="B268" s="363" t="s">
        <v>2557</v>
      </c>
      <c r="C268" s="363"/>
      <c r="D268" s="363"/>
      <c r="E268" s="363"/>
      <c r="F268" s="363">
        <v>1290</v>
      </c>
      <c r="G268" s="363"/>
    </row>
    <row r="269" s="348" customFormat="1" ht="14.25" customHeight="1" spans="1:7">
      <c r="A269" s="363" t="s">
        <v>284</v>
      </c>
      <c r="B269" s="363" t="s">
        <v>2562</v>
      </c>
      <c r="C269" s="363"/>
      <c r="D269" s="363"/>
      <c r="E269" s="363"/>
      <c r="F269" s="363">
        <v>1150</v>
      </c>
      <c r="G269" s="363"/>
    </row>
    <row r="270" s="348" customFormat="1" ht="14.25" customHeight="1" spans="1:7">
      <c r="A270" s="363" t="s">
        <v>284</v>
      </c>
      <c r="B270" s="363" t="s">
        <v>2567</v>
      </c>
      <c r="C270" s="363"/>
      <c r="D270" s="363"/>
      <c r="E270" s="363"/>
      <c r="F270" s="363">
        <v>1380</v>
      </c>
      <c r="G270" s="363"/>
    </row>
    <row r="271" s="348" customFormat="1" ht="14.25" customHeight="1" spans="1:7">
      <c r="A271" s="363" t="s">
        <v>284</v>
      </c>
      <c r="B271" s="363" t="s">
        <v>2572</v>
      </c>
      <c r="C271" s="363"/>
      <c r="D271" s="363"/>
      <c r="E271" s="363"/>
      <c r="F271" s="363">
        <v>1460</v>
      </c>
      <c r="G271" s="363"/>
    </row>
    <row r="272" s="348" customFormat="1" ht="14.25" customHeight="1" spans="1:7">
      <c r="A272" s="363" t="s">
        <v>284</v>
      </c>
      <c r="B272" s="363" t="s">
        <v>2577</v>
      </c>
      <c r="C272" s="363"/>
      <c r="D272" s="363"/>
      <c r="E272" s="363"/>
      <c r="F272" s="363">
        <v>1460</v>
      </c>
      <c r="G272" s="363"/>
    </row>
    <row r="273" s="348" customFormat="1" ht="14.25" customHeight="1" spans="1:7">
      <c r="A273" s="363" t="s">
        <v>284</v>
      </c>
      <c r="B273" s="363" t="s">
        <v>2582</v>
      </c>
      <c r="C273" s="363"/>
      <c r="D273" s="363"/>
      <c r="E273" s="363"/>
      <c r="F273" s="363">
        <v>1490</v>
      </c>
      <c r="G273" s="363"/>
    </row>
    <row r="274" s="348" customFormat="1" ht="14.25" customHeight="1" spans="1:7">
      <c r="A274" s="363" t="s">
        <v>284</v>
      </c>
      <c r="B274" s="363" t="s">
        <v>2586</v>
      </c>
      <c r="C274" s="363"/>
      <c r="D274" s="363"/>
      <c r="E274" s="363"/>
      <c r="F274" s="363">
        <v>1490</v>
      </c>
      <c r="G274" s="363"/>
    </row>
    <row r="275" s="348" customFormat="1" ht="14.25" customHeight="1" spans="1:7">
      <c r="A275" s="363" t="s">
        <v>284</v>
      </c>
      <c r="B275" s="363" t="s">
        <v>2590</v>
      </c>
      <c r="C275" s="363"/>
      <c r="D275" s="363"/>
      <c r="E275" s="363"/>
      <c r="F275" s="363">
        <v>1220</v>
      </c>
      <c r="G275" s="363"/>
    </row>
    <row r="276" s="348" customFormat="1" ht="14.25" customHeight="1" spans="1:7">
      <c r="A276" s="365" t="s">
        <v>284</v>
      </c>
      <c r="B276" s="368" t="s">
        <v>2594</v>
      </c>
      <c r="C276" s="369"/>
      <c r="D276" s="369"/>
      <c r="E276" s="369"/>
      <c r="F276" s="369">
        <v>1380</v>
      </c>
      <c r="G276" s="369"/>
    </row>
    <row r="277" s="348" customFormat="1" ht="14.25" customHeight="1" spans="1:7">
      <c r="A277" s="361" t="s">
        <v>288</v>
      </c>
      <c r="B277" s="362" t="s">
        <v>2249</v>
      </c>
      <c r="C277" s="362">
        <v>5790</v>
      </c>
      <c r="D277" s="362">
        <v>5740</v>
      </c>
      <c r="E277" s="362">
        <v>6730</v>
      </c>
      <c r="F277" s="362">
        <v>1110</v>
      </c>
      <c r="G277" s="370">
        <v>3460</v>
      </c>
    </row>
    <row r="278" s="348" customFormat="1" ht="14.25" customHeight="1" spans="1:7">
      <c r="A278" s="363" t="s">
        <v>288</v>
      </c>
      <c r="B278" s="363" t="s">
        <v>2262</v>
      </c>
      <c r="C278" s="363">
        <v>5740</v>
      </c>
      <c r="D278" s="363">
        <v>5670</v>
      </c>
      <c r="E278" s="363">
        <v>6680</v>
      </c>
      <c r="F278" s="363">
        <v>1070</v>
      </c>
      <c r="G278" s="371">
        <v>3420</v>
      </c>
    </row>
    <row r="279" s="348" customFormat="1" ht="14.25" customHeight="1" spans="1:7">
      <c r="A279" s="363" t="s">
        <v>288</v>
      </c>
      <c r="B279" s="363" t="s">
        <v>2276</v>
      </c>
      <c r="C279" s="363">
        <v>4760</v>
      </c>
      <c r="D279" s="363">
        <v>4720</v>
      </c>
      <c r="E279" s="363">
        <v>5540</v>
      </c>
      <c r="F279" s="363">
        <v>810</v>
      </c>
      <c r="G279" s="371">
        <v>2850</v>
      </c>
    </row>
    <row r="280" s="348" customFormat="1" ht="14.25" customHeight="1" spans="1:7">
      <c r="A280" s="363" t="s">
        <v>288</v>
      </c>
      <c r="B280" s="363" t="s">
        <v>2288</v>
      </c>
      <c r="C280" s="363">
        <v>4010</v>
      </c>
      <c r="D280" s="363">
        <v>3950</v>
      </c>
      <c r="E280" s="363">
        <v>4710</v>
      </c>
      <c r="F280" s="363">
        <v>800</v>
      </c>
      <c r="G280" s="371">
        <v>2390</v>
      </c>
    </row>
    <row r="281" s="348" customFormat="1" ht="14.25" customHeight="1" spans="1:7">
      <c r="A281" s="363" t="s">
        <v>288</v>
      </c>
      <c r="B281" s="363" t="s">
        <v>2300</v>
      </c>
      <c r="C281" s="363">
        <v>4480</v>
      </c>
      <c r="D281" s="363">
        <v>4420</v>
      </c>
      <c r="E281" s="363">
        <v>5230</v>
      </c>
      <c r="F281" s="363">
        <v>870</v>
      </c>
      <c r="G281" s="371">
        <v>2660</v>
      </c>
    </row>
    <row r="282" s="348" customFormat="1" ht="14.25" customHeight="1" spans="1:7">
      <c r="A282" s="363" t="s">
        <v>288</v>
      </c>
      <c r="B282" s="363" t="s">
        <v>2311</v>
      </c>
      <c r="C282" s="363">
        <v>5360</v>
      </c>
      <c r="D282" s="363">
        <v>5300</v>
      </c>
      <c r="E282" s="363">
        <v>6190</v>
      </c>
      <c r="F282" s="363">
        <v>950</v>
      </c>
      <c r="G282" s="371">
        <v>3190</v>
      </c>
    </row>
    <row r="283" s="348" customFormat="1" ht="14.25" customHeight="1" spans="1:7">
      <c r="A283" s="363" t="s">
        <v>288</v>
      </c>
      <c r="B283" s="363" t="s">
        <v>2322</v>
      </c>
      <c r="C283" s="363">
        <v>4950</v>
      </c>
      <c r="D283" s="363">
        <v>4900</v>
      </c>
      <c r="E283" s="363">
        <v>5720</v>
      </c>
      <c r="F283" s="363">
        <v>920</v>
      </c>
      <c r="G283" s="371">
        <v>2950</v>
      </c>
    </row>
    <row r="284" s="348" customFormat="1" ht="14.25" customHeight="1" spans="1:7">
      <c r="A284" s="363" t="s">
        <v>288</v>
      </c>
      <c r="B284" s="363" t="s">
        <v>2333</v>
      </c>
      <c r="C284" s="363">
        <v>5610</v>
      </c>
      <c r="D284" s="363">
        <v>5560</v>
      </c>
      <c r="E284" s="363">
        <v>6520</v>
      </c>
      <c r="F284" s="363">
        <v>1030</v>
      </c>
      <c r="G284" s="371">
        <v>3360</v>
      </c>
    </row>
    <row r="285" s="348" customFormat="1" ht="14.25" customHeight="1" spans="1:7">
      <c r="A285" s="363" t="s">
        <v>288</v>
      </c>
      <c r="B285" s="363" t="s">
        <v>2343</v>
      </c>
      <c r="C285" s="363">
        <v>5340</v>
      </c>
      <c r="D285" s="363">
        <v>5290</v>
      </c>
      <c r="E285" s="363">
        <v>6170</v>
      </c>
      <c r="F285" s="363">
        <v>1080</v>
      </c>
      <c r="G285" s="371">
        <v>3180</v>
      </c>
    </row>
    <row r="286" s="348" customFormat="1" ht="14.25" customHeight="1" spans="1:7">
      <c r="A286" s="363" t="s">
        <v>288</v>
      </c>
      <c r="B286" s="363" t="s">
        <v>2353</v>
      </c>
      <c r="C286" s="363">
        <v>4890</v>
      </c>
      <c r="D286" s="363">
        <v>4840</v>
      </c>
      <c r="E286" s="363">
        <v>5640</v>
      </c>
      <c r="F286" s="363">
        <v>960</v>
      </c>
      <c r="G286" s="371">
        <v>2910</v>
      </c>
    </row>
    <row r="287" s="348" customFormat="1" ht="14.25" customHeight="1" spans="1:7">
      <c r="A287" s="363" t="s">
        <v>288</v>
      </c>
      <c r="B287" s="363" t="s">
        <v>2363</v>
      </c>
      <c r="C287" s="363">
        <v>4960</v>
      </c>
      <c r="D287" s="363">
        <v>4920</v>
      </c>
      <c r="E287" s="363">
        <v>5730</v>
      </c>
      <c r="F287" s="363">
        <v>930</v>
      </c>
      <c r="G287" s="371">
        <v>2960</v>
      </c>
    </row>
    <row r="288" s="348" customFormat="1" ht="14.25" customHeight="1" spans="1:7">
      <c r="A288" s="363" t="s">
        <v>288</v>
      </c>
      <c r="B288" s="363" t="s">
        <v>2373</v>
      </c>
      <c r="C288" s="363">
        <v>4350</v>
      </c>
      <c r="D288" s="363">
        <v>4300</v>
      </c>
      <c r="E288" s="363">
        <v>4900</v>
      </c>
      <c r="F288" s="363">
        <v>820</v>
      </c>
      <c r="G288" s="371">
        <v>2590</v>
      </c>
    </row>
    <row r="289" s="348" customFormat="1" ht="14.25" customHeight="1" spans="1:7">
      <c r="A289" s="363" t="s">
        <v>288</v>
      </c>
      <c r="B289" s="363" t="s">
        <v>2383</v>
      </c>
      <c r="C289" s="363">
        <v>5230</v>
      </c>
      <c r="D289" s="363">
        <v>5170</v>
      </c>
      <c r="E289" s="363">
        <v>6060</v>
      </c>
      <c r="F289" s="363">
        <v>900</v>
      </c>
      <c r="G289" s="371">
        <v>3120</v>
      </c>
    </row>
    <row r="290" s="348" customFormat="1" ht="14.25" customHeight="1" spans="1:7">
      <c r="A290" s="363" t="s">
        <v>288</v>
      </c>
      <c r="B290" s="363" t="s">
        <v>2393</v>
      </c>
      <c r="C290" s="363">
        <v>5550</v>
      </c>
      <c r="D290" s="363">
        <v>5500</v>
      </c>
      <c r="E290" s="363">
        <v>6440</v>
      </c>
      <c r="F290" s="363">
        <v>960</v>
      </c>
      <c r="G290" s="371">
        <v>3320</v>
      </c>
    </row>
    <row r="291" s="348" customFormat="1" ht="14.25" customHeight="1" spans="1:7">
      <c r="A291" s="363" t="s">
        <v>288</v>
      </c>
      <c r="B291" s="363" t="s">
        <v>2403</v>
      </c>
      <c r="C291" s="363">
        <v>5440</v>
      </c>
      <c r="D291" s="363">
        <v>5400</v>
      </c>
      <c r="E291" s="363">
        <v>6320</v>
      </c>
      <c r="F291" s="363">
        <v>930</v>
      </c>
      <c r="G291" s="371">
        <v>3250</v>
      </c>
    </row>
    <row r="292" s="348" customFormat="1" ht="14.25" customHeight="1" spans="1:7">
      <c r="A292" s="363" t="s">
        <v>288</v>
      </c>
      <c r="B292" s="363" t="s">
        <v>2413</v>
      </c>
      <c r="C292" s="363">
        <v>5400</v>
      </c>
      <c r="D292" s="363">
        <v>5360</v>
      </c>
      <c r="E292" s="363">
        <v>6270</v>
      </c>
      <c r="F292" s="363">
        <v>1040</v>
      </c>
      <c r="G292" s="371">
        <v>3230</v>
      </c>
    </row>
    <row r="293" s="348" customFormat="1" ht="14.25" customHeight="1" spans="1:7">
      <c r="A293" s="363" t="s">
        <v>288</v>
      </c>
      <c r="B293" s="363" t="s">
        <v>2423</v>
      </c>
      <c r="C293" s="363">
        <v>5320</v>
      </c>
      <c r="D293" s="363">
        <v>5270</v>
      </c>
      <c r="E293" s="363">
        <v>6160</v>
      </c>
      <c r="F293" s="363">
        <v>990</v>
      </c>
      <c r="G293" s="371">
        <v>3170</v>
      </c>
    </row>
    <row r="294" s="348" customFormat="1" ht="14.25" customHeight="1" spans="1:7">
      <c r="A294" s="363" t="s">
        <v>288</v>
      </c>
      <c r="B294" s="363" t="s">
        <v>2433</v>
      </c>
      <c r="C294" s="363">
        <v>5260</v>
      </c>
      <c r="D294" s="363">
        <v>5210</v>
      </c>
      <c r="E294" s="363">
        <v>6100</v>
      </c>
      <c r="F294" s="363">
        <v>950</v>
      </c>
      <c r="G294" s="371">
        <v>3150</v>
      </c>
    </row>
    <row r="295" s="348" customFormat="1" ht="14.25" customHeight="1" spans="1:7">
      <c r="A295" s="363" t="s">
        <v>288</v>
      </c>
      <c r="B295" s="363" t="s">
        <v>2443</v>
      </c>
      <c r="C295" s="363">
        <v>5610</v>
      </c>
      <c r="D295" s="363">
        <v>5570</v>
      </c>
      <c r="E295" s="363">
        <v>6530</v>
      </c>
      <c r="F295" s="363">
        <v>960</v>
      </c>
      <c r="G295" s="371">
        <v>3360</v>
      </c>
    </row>
    <row r="296" s="348" customFormat="1" ht="14.25" customHeight="1" spans="1:7">
      <c r="A296" s="363" t="s">
        <v>288</v>
      </c>
      <c r="B296" s="363" t="s">
        <v>2453</v>
      </c>
      <c r="C296" s="363">
        <v>5540</v>
      </c>
      <c r="D296" s="363">
        <v>5490</v>
      </c>
      <c r="E296" s="363">
        <v>6430</v>
      </c>
      <c r="F296" s="363">
        <v>980</v>
      </c>
      <c r="G296" s="371">
        <v>3310</v>
      </c>
    </row>
    <row r="297" s="348" customFormat="1" ht="14.25" customHeight="1" spans="1:7">
      <c r="A297" s="363" t="s">
        <v>288</v>
      </c>
      <c r="B297" s="363" t="s">
        <v>2462</v>
      </c>
      <c r="C297" s="363">
        <v>5480</v>
      </c>
      <c r="D297" s="363">
        <v>5420</v>
      </c>
      <c r="E297" s="363">
        <v>6370</v>
      </c>
      <c r="F297" s="363">
        <v>990</v>
      </c>
      <c r="G297" s="371">
        <v>3270</v>
      </c>
    </row>
    <row r="298" s="348" customFormat="1" ht="14.25" customHeight="1" spans="1:7">
      <c r="A298" s="363" t="s">
        <v>288</v>
      </c>
      <c r="B298" s="363" t="s">
        <v>2470</v>
      </c>
      <c r="C298" s="363">
        <v>5090</v>
      </c>
      <c r="D298" s="363">
        <v>5050</v>
      </c>
      <c r="E298" s="363">
        <v>5910</v>
      </c>
      <c r="F298" s="363">
        <v>900</v>
      </c>
      <c r="G298" s="371">
        <v>3040</v>
      </c>
    </row>
    <row r="299" s="348" customFormat="1" ht="14.25" customHeight="1" spans="1:7">
      <c r="A299" s="363" t="s">
        <v>288</v>
      </c>
      <c r="B299" s="377" t="s">
        <v>2478</v>
      </c>
      <c r="C299" s="363">
        <v>5430</v>
      </c>
      <c r="D299" s="363">
        <v>5380</v>
      </c>
      <c r="E299" s="363">
        <v>6280</v>
      </c>
      <c r="F299" s="363">
        <v>1000</v>
      </c>
      <c r="G299" s="371">
        <v>3240</v>
      </c>
    </row>
    <row r="300" s="348" customFormat="1" ht="14.25" customHeight="1" spans="1:7">
      <c r="A300" s="363" t="s">
        <v>288</v>
      </c>
      <c r="B300" s="377" t="s">
        <v>2486</v>
      </c>
      <c r="C300" s="363">
        <v>4740</v>
      </c>
      <c r="D300" s="363">
        <v>4680</v>
      </c>
      <c r="E300" s="363">
        <v>5450</v>
      </c>
      <c r="F300" s="363">
        <v>900</v>
      </c>
      <c r="G300" s="371">
        <v>2830</v>
      </c>
    </row>
    <row r="301" s="348" customFormat="1" ht="14.25" customHeight="1" spans="1:7">
      <c r="A301" s="363" t="s">
        <v>288</v>
      </c>
      <c r="B301" s="377" t="s">
        <v>2494</v>
      </c>
      <c r="C301" s="363">
        <v>4870</v>
      </c>
      <c r="D301" s="363">
        <v>4810</v>
      </c>
      <c r="E301" s="363">
        <v>5560</v>
      </c>
      <c r="F301" s="363">
        <v>990</v>
      </c>
      <c r="G301" s="371">
        <v>2910</v>
      </c>
    </row>
    <row r="302" s="348" customFormat="1" ht="14.25" customHeight="1" spans="1:7">
      <c r="A302" s="363" t="s">
        <v>288</v>
      </c>
      <c r="B302" s="363" t="s">
        <v>2501</v>
      </c>
      <c r="C302" s="363">
        <v>5520</v>
      </c>
      <c r="D302" s="363">
        <v>5470</v>
      </c>
      <c r="E302" s="363">
        <v>6410</v>
      </c>
      <c r="F302" s="363">
        <v>950</v>
      </c>
      <c r="G302" s="371">
        <v>3300</v>
      </c>
    </row>
    <row r="303" s="348" customFormat="1" ht="14.25" customHeight="1" spans="1:7">
      <c r="A303" s="363" t="s">
        <v>288</v>
      </c>
      <c r="B303" s="363" t="s">
        <v>2508</v>
      </c>
      <c r="C303" s="363">
        <v>5630</v>
      </c>
      <c r="D303" s="363">
        <v>5590</v>
      </c>
      <c r="E303" s="363">
        <v>6550</v>
      </c>
      <c r="F303" s="363">
        <v>1010</v>
      </c>
      <c r="G303" s="371">
        <v>3370</v>
      </c>
    </row>
    <row r="304" s="348" customFormat="1" ht="14.25" customHeight="1" spans="1:7">
      <c r="A304" s="363" t="s">
        <v>288</v>
      </c>
      <c r="B304" s="363" t="s">
        <v>2515</v>
      </c>
      <c r="C304" s="363">
        <v>5680</v>
      </c>
      <c r="D304" s="363">
        <v>5620</v>
      </c>
      <c r="E304" s="363">
        <v>6620</v>
      </c>
      <c r="F304" s="363">
        <v>1050</v>
      </c>
      <c r="G304" s="371">
        <v>3390</v>
      </c>
    </row>
    <row r="305" s="348" customFormat="1" ht="14.25" customHeight="1" spans="1:7">
      <c r="A305" s="363" t="s">
        <v>288</v>
      </c>
      <c r="B305" s="363" t="s">
        <v>2522</v>
      </c>
      <c r="C305" s="363">
        <v>5590</v>
      </c>
      <c r="D305" s="363">
        <v>5530</v>
      </c>
      <c r="E305" s="363">
        <v>6460</v>
      </c>
      <c r="F305" s="363">
        <v>900</v>
      </c>
      <c r="G305" s="371">
        <v>3340</v>
      </c>
    </row>
    <row r="306" s="348" customFormat="1" ht="14.25" customHeight="1" spans="1:7">
      <c r="A306" s="363" t="s">
        <v>288</v>
      </c>
      <c r="B306" s="363" t="s">
        <v>2529</v>
      </c>
      <c r="C306" s="363">
        <v>5560</v>
      </c>
      <c r="D306" s="363">
        <v>5510</v>
      </c>
      <c r="E306" s="363">
        <v>6440</v>
      </c>
      <c r="F306" s="363">
        <v>900</v>
      </c>
      <c r="G306" s="371">
        <v>3320</v>
      </c>
    </row>
    <row r="307" s="348" customFormat="1" ht="14.25" customHeight="1" spans="1:7">
      <c r="A307" s="363" t="s">
        <v>288</v>
      </c>
      <c r="B307" s="363" t="s">
        <v>2536</v>
      </c>
      <c r="C307" s="363">
        <v>5650</v>
      </c>
      <c r="D307" s="363">
        <v>5600</v>
      </c>
      <c r="E307" s="363">
        <v>6590</v>
      </c>
      <c r="F307" s="363">
        <v>930</v>
      </c>
      <c r="G307" s="371">
        <v>3380</v>
      </c>
    </row>
    <row r="308" s="348" customFormat="1" ht="14.25" customHeight="1" spans="1:7">
      <c r="A308" s="363" t="s">
        <v>288</v>
      </c>
      <c r="B308" s="363" t="s">
        <v>2543</v>
      </c>
      <c r="C308" s="363">
        <v>5620</v>
      </c>
      <c r="D308" s="363">
        <v>5580</v>
      </c>
      <c r="E308" s="363">
        <v>6540</v>
      </c>
      <c r="F308" s="363">
        <v>910</v>
      </c>
      <c r="G308" s="371">
        <v>3370</v>
      </c>
    </row>
    <row r="309" s="348" customFormat="1" ht="14.25" customHeight="1" spans="1:7">
      <c r="A309" s="363" t="s">
        <v>288</v>
      </c>
      <c r="B309" s="363" t="s">
        <v>2548</v>
      </c>
      <c r="C309" s="363">
        <v>5060</v>
      </c>
      <c r="D309" s="363">
        <v>5020</v>
      </c>
      <c r="E309" s="363">
        <v>6370</v>
      </c>
      <c r="F309" s="363">
        <v>800</v>
      </c>
      <c r="G309" s="371">
        <v>3020</v>
      </c>
    </row>
    <row r="310" s="348" customFormat="1" ht="14.25" customHeight="1" spans="1:7">
      <c r="A310" s="363" t="s">
        <v>288</v>
      </c>
      <c r="B310" s="363" t="s">
        <v>2553</v>
      </c>
      <c r="C310" s="363">
        <v>5150</v>
      </c>
      <c r="D310" s="363">
        <v>5110</v>
      </c>
      <c r="E310" s="363">
        <v>6500</v>
      </c>
      <c r="F310" s="363">
        <v>880</v>
      </c>
      <c r="G310" s="371">
        <v>3080</v>
      </c>
    </row>
    <row r="311" s="348" customFormat="1" ht="14.25" customHeight="1" spans="1:7">
      <c r="A311" s="363" t="s">
        <v>288</v>
      </c>
      <c r="B311" s="363" t="s">
        <v>2558</v>
      </c>
      <c r="C311" s="363">
        <v>4750</v>
      </c>
      <c r="D311" s="363">
        <v>4710</v>
      </c>
      <c r="E311" s="363">
        <v>5510</v>
      </c>
      <c r="F311" s="363">
        <v>880</v>
      </c>
      <c r="G311" s="371">
        <v>2840</v>
      </c>
    </row>
    <row r="312" s="348" customFormat="1" ht="14.25" customHeight="1" spans="1:7">
      <c r="A312" s="363" t="s">
        <v>288</v>
      </c>
      <c r="B312" s="363" t="s">
        <v>2563</v>
      </c>
      <c r="C312" s="363">
        <v>4690</v>
      </c>
      <c r="D312" s="363">
        <v>4640</v>
      </c>
      <c r="E312" s="363">
        <v>5420</v>
      </c>
      <c r="F312" s="363">
        <v>800</v>
      </c>
      <c r="G312" s="371">
        <v>2800</v>
      </c>
    </row>
    <row r="313" s="348" customFormat="1" ht="14.25" customHeight="1" spans="1:7">
      <c r="A313" s="363" t="s">
        <v>288</v>
      </c>
      <c r="B313" s="363" t="s">
        <v>2568</v>
      </c>
      <c r="C313" s="363">
        <v>4810</v>
      </c>
      <c r="D313" s="363">
        <v>4760</v>
      </c>
      <c r="E313" s="363">
        <v>5550</v>
      </c>
      <c r="F313" s="363">
        <v>920</v>
      </c>
      <c r="G313" s="371">
        <v>2870</v>
      </c>
    </row>
    <row r="314" s="348" customFormat="1" ht="14.25" customHeight="1" spans="1:7">
      <c r="A314" s="363" t="s">
        <v>288</v>
      </c>
      <c r="B314" s="363" t="s">
        <v>2573</v>
      </c>
      <c r="C314" s="363"/>
      <c r="D314" s="363"/>
      <c r="E314" s="363"/>
      <c r="F314" s="363">
        <v>1020</v>
      </c>
      <c r="G314" s="371"/>
    </row>
    <row r="315" s="348" customFormat="1" ht="14.25" customHeight="1" spans="1:7">
      <c r="A315" s="363" t="s">
        <v>288</v>
      </c>
      <c r="B315" s="363" t="s">
        <v>2578</v>
      </c>
      <c r="C315" s="363"/>
      <c r="D315" s="363"/>
      <c r="E315" s="363"/>
      <c r="F315" s="363">
        <v>1050</v>
      </c>
      <c r="G315" s="371"/>
    </row>
    <row r="316" s="348" customFormat="1" ht="14.25" customHeight="1" spans="1:7">
      <c r="A316" s="363" t="s">
        <v>288</v>
      </c>
      <c r="B316" s="363" t="s">
        <v>2583</v>
      </c>
      <c r="C316" s="363"/>
      <c r="D316" s="363"/>
      <c r="E316" s="363"/>
      <c r="F316" s="363">
        <v>900</v>
      </c>
      <c r="G316" s="371"/>
    </row>
    <row r="317" s="348" customFormat="1" ht="14.25" customHeight="1" spans="1:7">
      <c r="A317" s="363" t="s">
        <v>288</v>
      </c>
      <c r="B317" s="363" t="s">
        <v>2587</v>
      </c>
      <c r="C317" s="363"/>
      <c r="D317" s="363"/>
      <c r="E317" s="363"/>
      <c r="F317" s="363">
        <v>920</v>
      </c>
      <c r="G317" s="371"/>
    </row>
    <row r="318" s="348" customFormat="1" ht="14.25" customHeight="1" spans="1:7">
      <c r="A318" s="363" t="s">
        <v>288</v>
      </c>
      <c r="B318" s="363" t="s">
        <v>2591</v>
      </c>
      <c r="C318" s="363"/>
      <c r="D318" s="363"/>
      <c r="E318" s="363"/>
      <c r="F318" s="363">
        <v>1080</v>
      </c>
      <c r="G318" s="371"/>
    </row>
    <row r="319" s="348" customFormat="1" ht="14.25" customHeight="1" spans="1:7">
      <c r="A319" s="363" t="s">
        <v>288</v>
      </c>
      <c r="B319" s="363" t="s">
        <v>2595</v>
      </c>
      <c r="C319" s="363"/>
      <c r="D319" s="363"/>
      <c r="E319" s="363"/>
      <c r="F319" s="363">
        <v>1020</v>
      </c>
      <c r="G319" s="371"/>
    </row>
    <row r="320" s="348" customFormat="1" ht="14.25" customHeight="1" spans="1:7">
      <c r="A320" s="363" t="s">
        <v>288</v>
      </c>
      <c r="B320" s="363" t="s">
        <v>2598</v>
      </c>
      <c r="C320" s="363"/>
      <c r="D320" s="363"/>
      <c r="E320" s="363"/>
      <c r="F320" s="363">
        <v>1050</v>
      </c>
      <c r="G320" s="371"/>
    </row>
    <row r="321" s="348" customFormat="1" ht="14.25" customHeight="1" spans="1:7">
      <c r="A321" s="363" t="s">
        <v>288</v>
      </c>
      <c r="B321" s="363" t="s">
        <v>2600</v>
      </c>
      <c r="C321" s="363"/>
      <c r="D321" s="363"/>
      <c r="E321" s="363"/>
      <c r="F321" s="363">
        <v>960</v>
      </c>
      <c r="G321" s="371"/>
    </row>
    <row r="322" s="348" customFormat="1" ht="14.25" customHeight="1" spans="1:7">
      <c r="A322" s="363" t="s">
        <v>288</v>
      </c>
      <c r="B322" s="363" t="s">
        <v>2602</v>
      </c>
      <c r="C322" s="363"/>
      <c r="D322" s="363"/>
      <c r="E322" s="363"/>
      <c r="F322" s="363">
        <v>960</v>
      </c>
      <c r="G322" s="371"/>
    </row>
    <row r="323" s="348" customFormat="1" ht="14.25" customHeight="1" spans="1:7">
      <c r="A323" s="363" t="s">
        <v>288</v>
      </c>
      <c r="B323" s="363" t="s">
        <v>2604</v>
      </c>
      <c r="C323" s="363"/>
      <c r="D323" s="363"/>
      <c r="E323" s="363"/>
      <c r="F323" s="363">
        <v>880</v>
      </c>
      <c r="G323" s="371"/>
    </row>
    <row r="324" s="348" customFormat="1" ht="14.25" customHeight="1" spans="1:7">
      <c r="A324" s="363" t="s">
        <v>288</v>
      </c>
      <c r="B324" s="363" t="s">
        <v>2606</v>
      </c>
      <c r="C324" s="363"/>
      <c r="D324" s="363"/>
      <c r="E324" s="363"/>
      <c r="F324" s="363">
        <v>930</v>
      </c>
      <c r="G324" s="371"/>
    </row>
    <row r="325" s="348" customFormat="1" ht="14.25" customHeight="1" spans="1:7">
      <c r="A325" s="363" t="s">
        <v>288</v>
      </c>
      <c r="B325" s="364" t="s">
        <v>2608</v>
      </c>
      <c r="C325" s="363"/>
      <c r="D325" s="363"/>
      <c r="E325" s="363"/>
      <c r="F325" s="363">
        <v>900</v>
      </c>
      <c r="G325" s="371"/>
    </row>
    <row r="326" s="348" customFormat="1" ht="14.25" customHeight="1" spans="1:7">
      <c r="A326" s="372" t="s">
        <v>288</v>
      </c>
      <c r="B326" s="367" t="s">
        <v>2610</v>
      </c>
      <c r="C326" s="367"/>
      <c r="D326" s="367"/>
      <c r="E326" s="367"/>
      <c r="F326" s="367">
        <v>790</v>
      </c>
      <c r="G326" s="373"/>
    </row>
    <row r="327" s="348" customFormat="1" ht="14.25" customHeight="1" spans="1:7">
      <c r="A327" s="361" t="s">
        <v>292</v>
      </c>
      <c r="B327" s="362" t="s">
        <v>2250</v>
      </c>
      <c r="C327" s="363">
        <v>3750</v>
      </c>
      <c r="D327" s="363">
        <v>3710</v>
      </c>
      <c r="E327" s="363">
        <v>4080</v>
      </c>
      <c r="F327" s="363">
        <v>860</v>
      </c>
      <c r="G327" s="363">
        <v>2210</v>
      </c>
    </row>
    <row r="328" s="348" customFormat="1" ht="14.25" customHeight="1" spans="1:7">
      <c r="A328" s="363" t="s">
        <v>292</v>
      </c>
      <c r="B328" s="363" t="s">
        <v>2263</v>
      </c>
      <c r="C328" s="363">
        <v>3330</v>
      </c>
      <c r="D328" s="363">
        <v>3290</v>
      </c>
      <c r="E328" s="363">
        <v>3610</v>
      </c>
      <c r="F328" s="363">
        <v>850</v>
      </c>
      <c r="G328" s="363">
        <v>1960</v>
      </c>
    </row>
    <row r="329" s="348" customFormat="1" ht="14.25" customHeight="1" spans="1:7">
      <c r="A329" s="363" t="s">
        <v>292</v>
      </c>
      <c r="B329" s="363" t="s">
        <v>2277</v>
      </c>
      <c r="C329" s="363">
        <v>2730</v>
      </c>
      <c r="D329" s="363">
        <v>2690</v>
      </c>
      <c r="E329" s="363">
        <v>3100</v>
      </c>
      <c r="F329" s="363">
        <v>660</v>
      </c>
      <c r="G329" s="363">
        <v>1610</v>
      </c>
    </row>
    <row r="330" s="348" customFormat="1" ht="14.25" customHeight="1" spans="1:7">
      <c r="A330" s="363" t="s">
        <v>292</v>
      </c>
      <c r="B330" s="363" t="s">
        <v>2289</v>
      </c>
      <c r="C330" s="363">
        <v>3270</v>
      </c>
      <c r="D330" s="363">
        <v>3240</v>
      </c>
      <c r="E330" s="363">
        <v>3560</v>
      </c>
      <c r="F330" s="363">
        <v>680</v>
      </c>
      <c r="G330" s="363">
        <v>1940</v>
      </c>
    </row>
    <row r="331" s="348" customFormat="1" ht="14.25" customHeight="1" spans="1:7">
      <c r="A331" s="363" t="s">
        <v>292</v>
      </c>
      <c r="B331" s="363" t="s">
        <v>2301</v>
      </c>
      <c r="C331" s="363">
        <v>3770</v>
      </c>
      <c r="D331" s="363">
        <v>3740</v>
      </c>
      <c r="E331" s="363">
        <v>4110</v>
      </c>
      <c r="F331" s="363">
        <v>730</v>
      </c>
      <c r="G331" s="363">
        <v>2230</v>
      </c>
    </row>
    <row r="332" s="348" customFormat="1" ht="14.25" customHeight="1" spans="1:7">
      <c r="A332" s="363" t="s">
        <v>292</v>
      </c>
      <c r="B332" s="363" t="s">
        <v>2312</v>
      </c>
      <c r="C332" s="363">
        <v>3520</v>
      </c>
      <c r="D332" s="363">
        <v>3480</v>
      </c>
      <c r="E332" s="363">
        <v>3830</v>
      </c>
      <c r="F332" s="363">
        <v>720</v>
      </c>
      <c r="G332" s="363">
        <v>2090</v>
      </c>
    </row>
    <row r="333" s="348" customFormat="1" ht="14.25" customHeight="1" spans="1:7">
      <c r="A333" s="363" t="s">
        <v>292</v>
      </c>
      <c r="B333" s="363" t="s">
        <v>2323</v>
      </c>
      <c r="C333" s="363">
        <v>3840</v>
      </c>
      <c r="D333" s="363">
        <v>3800</v>
      </c>
      <c r="E333" s="363">
        <v>4200</v>
      </c>
      <c r="F333" s="363">
        <v>760</v>
      </c>
      <c r="G333" s="363">
        <v>2270</v>
      </c>
    </row>
    <row r="334" s="348" customFormat="1" ht="14.25" customHeight="1" spans="1:7">
      <c r="A334" s="363" t="s">
        <v>292</v>
      </c>
      <c r="B334" s="363" t="s">
        <v>2334</v>
      </c>
      <c r="C334" s="363">
        <v>3960</v>
      </c>
      <c r="D334" s="363">
        <v>3910</v>
      </c>
      <c r="E334" s="363">
        <v>4340</v>
      </c>
      <c r="F334" s="363">
        <v>780</v>
      </c>
      <c r="G334" s="363">
        <v>2340</v>
      </c>
    </row>
    <row r="335" s="348" customFormat="1" ht="14.25" customHeight="1" spans="1:7">
      <c r="A335" s="363" t="s">
        <v>292</v>
      </c>
      <c r="B335" s="363" t="s">
        <v>2344</v>
      </c>
      <c r="C335" s="363">
        <v>3710</v>
      </c>
      <c r="D335" s="363">
        <v>3670</v>
      </c>
      <c r="E335" s="363">
        <v>4030</v>
      </c>
      <c r="F335" s="363">
        <v>750</v>
      </c>
      <c r="G335" s="363">
        <v>2200</v>
      </c>
    </row>
    <row r="336" s="348" customFormat="1" ht="14.25" customHeight="1" spans="1:7">
      <c r="A336" s="363" t="s">
        <v>292</v>
      </c>
      <c r="B336" s="363" t="s">
        <v>2354</v>
      </c>
      <c r="C336" s="363">
        <v>3570</v>
      </c>
      <c r="D336" s="363">
        <v>3530</v>
      </c>
      <c r="E336" s="363">
        <v>3880</v>
      </c>
      <c r="F336" s="363">
        <v>770</v>
      </c>
      <c r="G336" s="363">
        <v>2110</v>
      </c>
    </row>
    <row r="337" s="348" customFormat="1" ht="14.25" customHeight="1" spans="1:7">
      <c r="A337" s="363" t="s">
        <v>292</v>
      </c>
      <c r="B337" s="363" t="s">
        <v>2364</v>
      </c>
      <c r="C337" s="363">
        <v>3780</v>
      </c>
      <c r="D337" s="363">
        <v>3750</v>
      </c>
      <c r="E337" s="363">
        <v>4130</v>
      </c>
      <c r="F337" s="363">
        <v>750</v>
      </c>
      <c r="G337" s="363">
        <v>2240</v>
      </c>
    </row>
    <row r="338" s="348" customFormat="1" ht="14.25" customHeight="1" spans="1:7">
      <c r="A338" s="363" t="s">
        <v>292</v>
      </c>
      <c r="B338" s="363" t="s">
        <v>2374</v>
      </c>
      <c r="C338" s="363">
        <v>3600</v>
      </c>
      <c r="D338" s="363">
        <v>3570</v>
      </c>
      <c r="E338" s="363">
        <v>3920</v>
      </c>
      <c r="F338" s="363">
        <v>790</v>
      </c>
      <c r="G338" s="363">
        <v>2140</v>
      </c>
    </row>
    <row r="339" s="348" customFormat="1" ht="14.25" customHeight="1" spans="1:7">
      <c r="A339" s="363" t="s">
        <v>292</v>
      </c>
      <c r="B339" s="363" t="s">
        <v>2384</v>
      </c>
      <c r="C339" s="363">
        <v>3540</v>
      </c>
      <c r="D339" s="363">
        <v>3500</v>
      </c>
      <c r="E339" s="363">
        <v>3850</v>
      </c>
      <c r="F339" s="363">
        <v>780</v>
      </c>
      <c r="G339" s="363">
        <v>2100</v>
      </c>
    </row>
    <row r="340" s="348" customFormat="1" ht="14.25" customHeight="1" spans="1:7">
      <c r="A340" s="363" t="s">
        <v>292</v>
      </c>
      <c r="B340" s="363" t="s">
        <v>2394</v>
      </c>
      <c r="C340" s="363">
        <v>3850</v>
      </c>
      <c r="D340" s="363">
        <v>3810</v>
      </c>
      <c r="E340" s="363">
        <v>4210</v>
      </c>
      <c r="F340" s="363">
        <v>750</v>
      </c>
      <c r="G340" s="363">
        <v>2280</v>
      </c>
    </row>
    <row r="341" s="348" customFormat="1" ht="14.25" customHeight="1" spans="1:7">
      <c r="A341" s="363" t="s">
        <v>292</v>
      </c>
      <c r="B341" s="363" t="s">
        <v>2404</v>
      </c>
      <c r="C341" s="363">
        <v>3780</v>
      </c>
      <c r="D341" s="363">
        <v>3750</v>
      </c>
      <c r="E341" s="363">
        <v>4140</v>
      </c>
      <c r="F341" s="363">
        <v>720</v>
      </c>
      <c r="G341" s="363">
        <v>2240</v>
      </c>
    </row>
    <row r="342" s="348" customFormat="1" ht="14.25" customHeight="1" spans="1:7">
      <c r="A342" s="363" t="s">
        <v>292</v>
      </c>
      <c r="B342" s="363" t="s">
        <v>2414</v>
      </c>
      <c r="C342" s="363">
        <v>3670</v>
      </c>
      <c r="D342" s="363">
        <v>3620</v>
      </c>
      <c r="E342" s="363">
        <v>3990</v>
      </c>
      <c r="F342" s="363">
        <v>760</v>
      </c>
      <c r="G342" s="363">
        <v>2170</v>
      </c>
    </row>
    <row r="343" s="348" customFormat="1" ht="14.25" customHeight="1" spans="1:7">
      <c r="A343" s="363" t="s">
        <v>292</v>
      </c>
      <c r="B343" s="363" t="s">
        <v>2424</v>
      </c>
      <c r="C343" s="363">
        <v>3760</v>
      </c>
      <c r="D343" s="363">
        <v>3720</v>
      </c>
      <c r="E343" s="363">
        <v>4090</v>
      </c>
      <c r="F343" s="363">
        <v>780</v>
      </c>
      <c r="G343" s="363">
        <v>2220</v>
      </c>
    </row>
    <row r="344" s="348" customFormat="1" ht="14.25" customHeight="1" spans="1:7">
      <c r="A344" s="363" t="s">
        <v>292</v>
      </c>
      <c r="B344" s="363" t="s">
        <v>2434</v>
      </c>
      <c r="C344" s="363">
        <v>3680</v>
      </c>
      <c r="D344" s="363">
        <v>3640</v>
      </c>
      <c r="E344" s="363">
        <v>4010</v>
      </c>
      <c r="F344" s="363">
        <v>750</v>
      </c>
      <c r="G344" s="363">
        <v>2180</v>
      </c>
    </row>
    <row r="345" spans="1:10">
      <c r="A345" s="363" t="s">
        <v>292</v>
      </c>
      <c r="B345" s="363" t="s">
        <v>2444</v>
      </c>
      <c r="C345" s="363">
        <v>3190</v>
      </c>
      <c r="D345" s="363">
        <v>3140</v>
      </c>
      <c r="E345" s="363">
        <v>3450</v>
      </c>
      <c r="F345" s="363">
        <v>720</v>
      </c>
      <c r="G345" s="363">
        <v>1880</v>
      </c>
      <c r="J345" s="348"/>
    </row>
    <row r="346" spans="1:10">
      <c r="A346" s="363" t="s">
        <v>292</v>
      </c>
      <c r="B346" s="363" t="s">
        <v>2454</v>
      </c>
      <c r="C346" s="363">
        <v>3630</v>
      </c>
      <c r="D346" s="363">
        <v>3590</v>
      </c>
      <c r="E346" s="363">
        <v>3940</v>
      </c>
      <c r="F346" s="363">
        <v>730</v>
      </c>
      <c r="G346" s="363">
        <v>2150</v>
      </c>
      <c r="J346" s="348"/>
    </row>
    <row r="347" spans="1:10">
      <c r="A347" s="363" t="s">
        <v>292</v>
      </c>
      <c r="B347" s="363" t="s">
        <v>2463</v>
      </c>
      <c r="C347" s="363">
        <v>3860</v>
      </c>
      <c r="D347" s="363">
        <v>3820</v>
      </c>
      <c r="E347" s="363">
        <v>4220</v>
      </c>
      <c r="F347" s="363">
        <v>750</v>
      </c>
      <c r="G347" s="363">
        <v>2280</v>
      </c>
      <c r="J347" s="348"/>
    </row>
    <row r="348" spans="1:10">
      <c r="A348" s="363" t="s">
        <v>292</v>
      </c>
      <c r="B348" s="363" t="s">
        <v>2471</v>
      </c>
      <c r="C348" s="363">
        <v>4000</v>
      </c>
      <c r="D348" s="363">
        <v>3950</v>
      </c>
      <c r="E348" s="363">
        <v>4430</v>
      </c>
      <c r="F348" s="363">
        <v>760</v>
      </c>
      <c r="G348" s="363">
        <v>2360</v>
      </c>
      <c r="J348" s="348"/>
    </row>
    <row r="349" spans="1:10">
      <c r="A349" s="363" t="s">
        <v>292</v>
      </c>
      <c r="B349" s="363" t="s">
        <v>2479</v>
      </c>
      <c r="C349" s="363">
        <v>3820</v>
      </c>
      <c r="D349" s="363">
        <v>3780</v>
      </c>
      <c r="E349" s="363">
        <v>4170</v>
      </c>
      <c r="F349" s="363">
        <v>710</v>
      </c>
      <c r="G349" s="363">
        <v>2260</v>
      </c>
      <c r="J349" s="348"/>
    </row>
    <row r="350" spans="1:10">
      <c r="A350" s="363" t="s">
        <v>292</v>
      </c>
      <c r="B350" s="363" t="s">
        <v>2487</v>
      </c>
      <c r="C350" s="363">
        <v>3760</v>
      </c>
      <c r="D350" s="363">
        <v>3730</v>
      </c>
      <c r="E350" s="363">
        <v>4100</v>
      </c>
      <c r="F350" s="363">
        <v>800</v>
      </c>
      <c r="G350" s="363">
        <v>2230</v>
      </c>
      <c r="J350" s="348"/>
    </row>
    <row r="351" spans="1:10">
      <c r="A351" s="363" t="s">
        <v>292</v>
      </c>
      <c r="B351" s="363" t="s">
        <v>2495</v>
      </c>
      <c r="C351" s="363">
        <v>3610</v>
      </c>
      <c r="D351" s="363">
        <v>3580</v>
      </c>
      <c r="E351" s="363">
        <v>3930</v>
      </c>
      <c r="F351" s="363">
        <v>700</v>
      </c>
      <c r="G351" s="363">
        <v>2140</v>
      </c>
      <c r="J351" s="348"/>
    </row>
    <row r="352" spans="1:7">
      <c r="A352" s="363" t="s">
        <v>292</v>
      </c>
      <c r="B352" s="363" t="s">
        <v>2502</v>
      </c>
      <c r="C352" s="363">
        <v>3670</v>
      </c>
      <c r="D352" s="363">
        <v>3630</v>
      </c>
      <c r="E352" s="363">
        <v>4000</v>
      </c>
      <c r="F352" s="363">
        <v>750</v>
      </c>
      <c r="G352" s="363">
        <v>2180</v>
      </c>
    </row>
    <row r="353" s="349" customFormat="1" spans="1:7">
      <c r="A353" s="363" t="s">
        <v>292</v>
      </c>
      <c r="B353" s="363" t="s">
        <v>2509</v>
      </c>
      <c r="C353" s="363">
        <v>3190</v>
      </c>
      <c r="D353" s="363">
        <v>3150</v>
      </c>
      <c r="E353" s="363">
        <v>3640</v>
      </c>
      <c r="F353" s="363">
        <v>630</v>
      </c>
      <c r="G353" s="363">
        <v>1890</v>
      </c>
    </row>
    <row r="354" s="349" customFormat="1" spans="1:7">
      <c r="A354" s="363" t="s">
        <v>292</v>
      </c>
      <c r="B354" s="363" t="s">
        <v>2516</v>
      </c>
      <c r="C354" s="363">
        <v>3450</v>
      </c>
      <c r="D354" s="363">
        <v>3420</v>
      </c>
      <c r="E354" s="363">
        <v>3960</v>
      </c>
      <c r="F354" s="363">
        <v>660</v>
      </c>
      <c r="G354" s="363">
        <v>2050</v>
      </c>
    </row>
    <row r="355" s="349" customFormat="1" spans="1:7">
      <c r="A355" s="363" t="s">
        <v>292</v>
      </c>
      <c r="B355" s="363" t="s">
        <v>2523</v>
      </c>
      <c r="C355" s="363">
        <v>3650</v>
      </c>
      <c r="D355" s="363">
        <v>3610</v>
      </c>
      <c r="E355" s="363">
        <v>4200</v>
      </c>
      <c r="F355" s="363">
        <v>640</v>
      </c>
      <c r="G355" s="363">
        <v>2160</v>
      </c>
    </row>
    <row r="356" s="349" customFormat="1" spans="1:7">
      <c r="A356" s="363" t="s">
        <v>292</v>
      </c>
      <c r="B356" s="363" t="s">
        <v>2530</v>
      </c>
      <c r="C356" s="363">
        <v>3260</v>
      </c>
      <c r="D356" s="363">
        <v>3230</v>
      </c>
      <c r="E356" s="363">
        <v>3740</v>
      </c>
      <c r="F356" s="363">
        <v>600</v>
      </c>
      <c r="G356" s="363">
        <v>1930</v>
      </c>
    </row>
    <row r="357" s="349" customFormat="1" ht="12" spans="1:7">
      <c r="A357" s="365" t="s">
        <v>292</v>
      </c>
      <c r="B357" s="369" t="s">
        <v>2537</v>
      </c>
      <c r="C357" s="369">
        <v>3690</v>
      </c>
      <c r="D357" s="369">
        <v>3650</v>
      </c>
      <c r="E357" s="369">
        <v>4020</v>
      </c>
      <c r="F357" s="369">
        <v>700</v>
      </c>
      <c r="G357" s="369">
        <v>2190</v>
      </c>
    </row>
    <row r="358" s="349" customFormat="1" spans="1:7">
      <c r="A358" s="361" t="s">
        <v>296</v>
      </c>
      <c r="B358" s="362" t="s">
        <v>2251</v>
      </c>
      <c r="C358" s="362">
        <v>2080</v>
      </c>
      <c r="D358" s="362">
        <v>2040</v>
      </c>
      <c r="E358" s="362">
        <v>2010</v>
      </c>
      <c r="F358" s="362">
        <v>530</v>
      </c>
      <c r="G358" s="370">
        <v>1230</v>
      </c>
    </row>
    <row r="359" s="349" customFormat="1" spans="1:7">
      <c r="A359" s="363" t="s">
        <v>296</v>
      </c>
      <c r="B359" s="363" t="s">
        <v>2264</v>
      </c>
      <c r="C359" s="363">
        <v>1850</v>
      </c>
      <c r="D359" s="363">
        <v>1820</v>
      </c>
      <c r="E359" s="363">
        <v>1780</v>
      </c>
      <c r="F359" s="363">
        <v>520</v>
      </c>
      <c r="G359" s="371">
        <v>1100</v>
      </c>
    </row>
    <row r="360" s="349" customFormat="1" spans="1:7">
      <c r="A360" s="363" t="s">
        <v>296</v>
      </c>
      <c r="B360" s="363" t="s">
        <v>2278</v>
      </c>
      <c r="C360" s="363">
        <v>2020</v>
      </c>
      <c r="D360" s="363">
        <v>1990</v>
      </c>
      <c r="E360" s="363">
        <v>1950</v>
      </c>
      <c r="F360" s="363">
        <v>500</v>
      </c>
      <c r="G360" s="371">
        <v>1200</v>
      </c>
    </row>
    <row r="361" s="349" customFormat="1" spans="1:7">
      <c r="A361" s="363" t="s">
        <v>296</v>
      </c>
      <c r="B361" s="363" t="s">
        <v>2290</v>
      </c>
      <c r="C361" s="363">
        <v>2260</v>
      </c>
      <c r="D361" s="363">
        <v>2220</v>
      </c>
      <c r="E361" s="363">
        <v>2180</v>
      </c>
      <c r="F361" s="363">
        <v>580</v>
      </c>
      <c r="G361" s="371">
        <v>1340</v>
      </c>
    </row>
    <row r="362" s="349" customFormat="1" spans="1:7">
      <c r="A362" s="363" t="s">
        <v>296</v>
      </c>
      <c r="B362" s="363" t="s">
        <v>2302</v>
      </c>
      <c r="C362" s="363">
        <v>2650</v>
      </c>
      <c r="D362" s="363">
        <v>2610</v>
      </c>
      <c r="E362" s="363">
        <v>2570</v>
      </c>
      <c r="F362" s="363">
        <v>630</v>
      </c>
      <c r="G362" s="371">
        <v>1570</v>
      </c>
    </row>
    <row r="363" s="349" customFormat="1" spans="1:7">
      <c r="A363" s="363" t="s">
        <v>296</v>
      </c>
      <c r="B363" s="363" t="s">
        <v>2313</v>
      </c>
      <c r="C363" s="363">
        <v>2390</v>
      </c>
      <c r="D363" s="363">
        <v>2360</v>
      </c>
      <c r="E363" s="363">
        <v>2320</v>
      </c>
      <c r="F363" s="363">
        <v>600</v>
      </c>
      <c r="G363" s="371">
        <v>1420</v>
      </c>
    </row>
    <row r="364" s="349" customFormat="1" spans="1:7">
      <c r="A364" s="363" t="s">
        <v>296</v>
      </c>
      <c r="B364" s="363" t="s">
        <v>2324</v>
      </c>
      <c r="C364" s="363">
        <v>2050</v>
      </c>
      <c r="D364" s="363">
        <v>2030</v>
      </c>
      <c r="E364" s="363">
        <v>1990</v>
      </c>
      <c r="F364" s="363">
        <v>550</v>
      </c>
      <c r="G364" s="371">
        <v>1220</v>
      </c>
    </row>
    <row r="365" s="349" customFormat="1" spans="1:7">
      <c r="A365" s="363" t="s">
        <v>296</v>
      </c>
      <c r="B365" s="363" t="s">
        <v>2335</v>
      </c>
      <c r="C365" s="363">
        <v>2140</v>
      </c>
      <c r="D365" s="363">
        <v>2100</v>
      </c>
      <c r="E365" s="363">
        <v>2060</v>
      </c>
      <c r="F365" s="363">
        <v>540</v>
      </c>
      <c r="G365" s="371">
        <v>1270</v>
      </c>
    </row>
    <row r="366" s="349" customFormat="1" spans="1:7">
      <c r="A366" s="363" t="s">
        <v>296</v>
      </c>
      <c r="B366" s="363" t="s">
        <v>2345</v>
      </c>
      <c r="C366" s="363">
        <v>2410</v>
      </c>
      <c r="D366" s="363">
        <v>2370</v>
      </c>
      <c r="E366" s="363">
        <v>2330</v>
      </c>
      <c r="F366" s="363">
        <v>570</v>
      </c>
      <c r="G366" s="371">
        <v>1440</v>
      </c>
    </row>
    <row r="367" s="349" customFormat="1" spans="1:7">
      <c r="A367" s="363" t="s">
        <v>296</v>
      </c>
      <c r="B367" s="363" t="s">
        <v>2355</v>
      </c>
      <c r="C367" s="363">
        <v>2300</v>
      </c>
      <c r="D367" s="363">
        <v>2260</v>
      </c>
      <c r="E367" s="363">
        <v>2220</v>
      </c>
      <c r="F367" s="363">
        <v>560</v>
      </c>
      <c r="G367" s="371">
        <v>1370</v>
      </c>
    </row>
    <row r="368" s="349" customFormat="1" spans="1:7">
      <c r="A368" s="363" t="s">
        <v>296</v>
      </c>
      <c r="B368" s="363" t="s">
        <v>2365</v>
      </c>
      <c r="C368" s="363">
        <v>2430</v>
      </c>
      <c r="D368" s="363">
        <v>2390</v>
      </c>
      <c r="E368" s="363">
        <v>2350</v>
      </c>
      <c r="F368" s="363">
        <v>570</v>
      </c>
      <c r="G368" s="371">
        <v>1450</v>
      </c>
    </row>
    <row r="369" s="349" customFormat="1" spans="1:7">
      <c r="A369" s="363" t="s">
        <v>296</v>
      </c>
      <c r="B369" s="363" t="s">
        <v>2375</v>
      </c>
      <c r="C369" s="363">
        <v>2320</v>
      </c>
      <c r="D369" s="363">
        <v>2290</v>
      </c>
      <c r="E369" s="363">
        <v>2250</v>
      </c>
      <c r="F369" s="363">
        <v>550</v>
      </c>
      <c r="G369" s="371">
        <v>1380</v>
      </c>
    </row>
    <row r="370" s="349" customFormat="1" spans="1:7">
      <c r="A370" s="363" t="s">
        <v>296</v>
      </c>
      <c r="B370" s="363" t="s">
        <v>2385</v>
      </c>
      <c r="C370" s="363">
        <v>2190</v>
      </c>
      <c r="D370" s="363">
        <v>2170</v>
      </c>
      <c r="E370" s="363">
        <v>2130</v>
      </c>
      <c r="F370" s="363">
        <v>530</v>
      </c>
      <c r="G370" s="371">
        <v>1310</v>
      </c>
    </row>
    <row r="371" s="349" customFormat="1" spans="1:7">
      <c r="A371" s="363" t="s">
        <v>296</v>
      </c>
      <c r="B371" s="363" t="s">
        <v>2395</v>
      </c>
      <c r="C371" s="363">
        <v>2460</v>
      </c>
      <c r="D371" s="363">
        <v>2420</v>
      </c>
      <c r="E371" s="363">
        <v>2370</v>
      </c>
      <c r="F371" s="363">
        <v>560</v>
      </c>
      <c r="G371" s="371">
        <v>1470</v>
      </c>
    </row>
    <row r="372" s="349" customFormat="1" spans="1:7">
      <c r="A372" s="363" t="s">
        <v>296</v>
      </c>
      <c r="B372" s="363" t="s">
        <v>2405</v>
      </c>
      <c r="C372" s="363">
        <v>2250</v>
      </c>
      <c r="D372" s="363">
        <v>2210</v>
      </c>
      <c r="E372" s="363">
        <v>2180</v>
      </c>
      <c r="F372" s="363">
        <v>550</v>
      </c>
      <c r="G372" s="371">
        <v>1340</v>
      </c>
    </row>
    <row r="373" s="349" customFormat="1" spans="1:7">
      <c r="A373" s="363" t="s">
        <v>296</v>
      </c>
      <c r="B373" s="363" t="s">
        <v>2415</v>
      </c>
      <c r="C373" s="363">
        <v>2210</v>
      </c>
      <c r="D373" s="363">
        <v>2190</v>
      </c>
      <c r="E373" s="363">
        <v>2150</v>
      </c>
      <c r="F373" s="363">
        <v>530</v>
      </c>
      <c r="G373" s="371">
        <v>1320</v>
      </c>
    </row>
    <row r="374" s="349" customFormat="1" spans="1:7">
      <c r="A374" s="363" t="s">
        <v>296</v>
      </c>
      <c r="B374" s="363" t="s">
        <v>2425</v>
      </c>
      <c r="C374" s="363">
        <v>2320</v>
      </c>
      <c r="D374" s="363">
        <v>2280</v>
      </c>
      <c r="E374" s="363">
        <v>2230</v>
      </c>
      <c r="F374" s="363">
        <v>580</v>
      </c>
      <c r="G374" s="371">
        <v>1380</v>
      </c>
    </row>
    <row r="375" s="349" customFormat="1" spans="1:7">
      <c r="A375" s="363" t="s">
        <v>296</v>
      </c>
      <c r="B375" s="363" t="s">
        <v>2435</v>
      </c>
      <c r="C375" s="363">
        <v>2090</v>
      </c>
      <c r="D375" s="363">
        <v>2050</v>
      </c>
      <c r="E375" s="363">
        <v>2020</v>
      </c>
      <c r="F375" s="363">
        <v>520</v>
      </c>
      <c r="G375" s="371">
        <v>1240</v>
      </c>
    </row>
    <row r="376" s="349" customFormat="1" spans="1:7">
      <c r="A376" s="363" t="s">
        <v>296</v>
      </c>
      <c r="B376" s="363" t="s">
        <v>2445</v>
      </c>
      <c r="C376" s="363">
        <v>2010</v>
      </c>
      <c r="D376" s="363">
        <v>1980</v>
      </c>
      <c r="E376" s="363">
        <v>1940</v>
      </c>
      <c r="F376" s="363">
        <v>540</v>
      </c>
      <c r="G376" s="371">
        <v>1190</v>
      </c>
    </row>
    <row r="377" s="349" customFormat="1" ht="12" spans="1:7">
      <c r="A377" s="365" t="s">
        <v>296</v>
      </c>
      <c r="B377" s="369" t="s">
        <v>2455</v>
      </c>
      <c r="C377" s="369">
        <v>1930</v>
      </c>
      <c r="D377" s="369">
        <v>1890</v>
      </c>
      <c r="E377" s="369">
        <v>1860</v>
      </c>
      <c r="F377" s="369">
        <v>530</v>
      </c>
      <c r="G377" s="378">
        <v>1150</v>
      </c>
    </row>
    <row r="378" s="349" customFormat="1" spans="1:7">
      <c r="A378" s="379" t="s">
        <v>300</v>
      </c>
      <c r="B378" s="362" t="s">
        <v>2252</v>
      </c>
      <c r="C378" s="362">
        <v>1520</v>
      </c>
      <c r="D378" s="362">
        <v>1490</v>
      </c>
      <c r="E378" s="362">
        <v>1460</v>
      </c>
      <c r="F378" s="362">
        <v>460</v>
      </c>
      <c r="G378" s="370">
        <v>940</v>
      </c>
    </row>
    <row r="379" s="349" customFormat="1" spans="1:7">
      <c r="A379" s="380" t="s">
        <v>300</v>
      </c>
      <c r="B379" s="363" t="s">
        <v>2265</v>
      </c>
      <c r="C379" s="363">
        <v>1500</v>
      </c>
      <c r="D379" s="363">
        <v>1470</v>
      </c>
      <c r="E379" s="363">
        <v>1430</v>
      </c>
      <c r="F379" s="363">
        <v>460</v>
      </c>
      <c r="G379" s="371">
        <v>920</v>
      </c>
    </row>
    <row r="380" s="349" customFormat="1" spans="1:7">
      <c r="A380" s="380" t="s">
        <v>300</v>
      </c>
      <c r="B380" s="363" t="s">
        <v>2279</v>
      </c>
      <c r="C380" s="363">
        <v>1620</v>
      </c>
      <c r="D380" s="363">
        <v>1590</v>
      </c>
      <c r="E380" s="363">
        <v>1560</v>
      </c>
      <c r="F380" s="363">
        <v>480</v>
      </c>
      <c r="G380" s="371">
        <v>1000</v>
      </c>
    </row>
    <row r="381" s="349" customFormat="1" spans="1:7">
      <c r="A381" s="380" t="s">
        <v>300</v>
      </c>
      <c r="B381" s="363" t="s">
        <v>2291</v>
      </c>
      <c r="C381" s="363">
        <v>1460</v>
      </c>
      <c r="D381" s="363">
        <v>1430</v>
      </c>
      <c r="E381" s="363">
        <v>1390</v>
      </c>
      <c r="F381" s="363">
        <v>450</v>
      </c>
      <c r="G381" s="371">
        <v>900</v>
      </c>
    </row>
    <row r="382" s="349" customFormat="1" spans="1:7">
      <c r="A382" s="380" t="s">
        <v>300</v>
      </c>
      <c r="B382" s="363" t="s">
        <v>2303</v>
      </c>
      <c r="C382" s="363">
        <v>1310</v>
      </c>
      <c r="D382" s="363">
        <v>1280</v>
      </c>
      <c r="E382" s="363">
        <v>1250</v>
      </c>
      <c r="F382" s="363">
        <v>440</v>
      </c>
      <c r="G382" s="371">
        <v>800</v>
      </c>
    </row>
    <row r="383" s="349" customFormat="1" spans="1:7">
      <c r="A383" s="380" t="s">
        <v>300</v>
      </c>
      <c r="B383" s="363" t="s">
        <v>2314</v>
      </c>
      <c r="C383" s="363">
        <v>1260</v>
      </c>
      <c r="D383" s="363">
        <v>1230</v>
      </c>
      <c r="E383" s="363">
        <v>1200</v>
      </c>
      <c r="F383" s="363">
        <v>420</v>
      </c>
      <c r="G383" s="371">
        <v>770</v>
      </c>
    </row>
    <row r="384" s="349" customFormat="1" ht="12" spans="1:7">
      <c r="A384" s="381" t="s">
        <v>300</v>
      </c>
      <c r="B384" s="367" t="s">
        <v>2325</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0" customWidth="1"/>
    <col min="2" max="2" width="20" style="310" customWidth="1"/>
    <col min="3" max="7" width="8.875" style="311"/>
    <col min="8" max="16384" width="8.875" style="312"/>
  </cols>
  <sheetData>
    <row r="1" spans="1:2">
      <c r="A1" s="313" t="s">
        <v>2624</v>
      </c>
      <c r="B1" s="313"/>
    </row>
    <row r="2" ht="14.25" spans="1:2">
      <c r="A2" s="313"/>
      <c r="B2" s="313"/>
    </row>
    <row r="3" ht="14.25" spans="1:7">
      <c r="A3" s="313"/>
      <c r="B3" s="313"/>
      <c r="C3" s="314" t="s">
        <v>1914</v>
      </c>
      <c r="D3" s="314" t="s">
        <v>1915</v>
      </c>
      <c r="E3" s="314" t="s">
        <v>412</v>
      </c>
      <c r="F3" s="314" t="s">
        <v>408</v>
      </c>
      <c r="G3" s="314" t="s">
        <v>280</v>
      </c>
    </row>
    <row r="4" ht="14.25" spans="1:7">
      <c r="A4" s="315" t="s">
        <v>2253</v>
      </c>
      <c r="B4" s="316" t="s">
        <v>2266</v>
      </c>
      <c r="C4" s="314"/>
      <c r="D4" s="314"/>
      <c r="E4" s="314"/>
      <c r="F4" s="314"/>
      <c r="G4" s="314"/>
    </row>
    <row r="5" spans="1:7">
      <c r="A5" s="317" t="s">
        <v>230</v>
      </c>
      <c r="B5" s="318" t="s">
        <v>2241</v>
      </c>
      <c r="C5" s="319">
        <v>0.098</v>
      </c>
      <c r="D5" s="319">
        <v>0.087</v>
      </c>
      <c r="E5" s="319">
        <v>0.087</v>
      </c>
      <c r="F5" s="319">
        <v>0.098</v>
      </c>
      <c r="G5" s="320">
        <v>0.095</v>
      </c>
    </row>
    <row r="6" spans="1:7">
      <c r="A6" s="321" t="s">
        <v>230</v>
      </c>
      <c r="B6" s="322" t="s">
        <v>2254</v>
      </c>
      <c r="C6" s="323">
        <v>0.098</v>
      </c>
      <c r="D6" s="323">
        <v>0.098</v>
      </c>
      <c r="E6" s="323">
        <v>0.098</v>
      </c>
      <c r="F6" s="323">
        <v>0.1</v>
      </c>
      <c r="G6" s="324">
        <v>0.099</v>
      </c>
    </row>
    <row r="7" spans="1:7">
      <c r="A7" s="321" t="s">
        <v>230</v>
      </c>
      <c r="B7" s="322" t="s">
        <v>2268</v>
      </c>
      <c r="C7" s="323">
        <v>0.097</v>
      </c>
      <c r="D7" s="323">
        <v>0.097</v>
      </c>
      <c r="E7" s="323">
        <v>0.096</v>
      </c>
      <c r="F7" s="323">
        <v>0.1</v>
      </c>
      <c r="G7" s="324">
        <v>0.098</v>
      </c>
    </row>
    <row r="8" spans="1:7">
      <c r="A8" s="321" t="s">
        <v>230</v>
      </c>
      <c r="B8" s="322" t="s">
        <v>2280</v>
      </c>
      <c r="C8" s="323">
        <v>0.081</v>
      </c>
      <c r="D8" s="323">
        <v>0.082</v>
      </c>
      <c r="E8" s="323">
        <v>0.07</v>
      </c>
      <c r="F8" s="323">
        <v>0.096</v>
      </c>
      <c r="G8" s="324">
        <v>0.089</v>
      </c>
    </row>
    <row r="9" ht="14.25" spans="1:7">
      <c r="A9" s="325" t="s">
        <v>230</v>
      </c>
      <c r="B9" s="326" t="s">
        <v>2292</v>
      </c>
      <c r="C9" s="327">
        <v>0.1</v>
      </c>
      <c r="D9" s="327">
        <v>0.1</v>
      </c>
      <c r="E9" s="327">
        <v>0.1</v>
      </c>
      <c r="F9" s="328"/>
      <c r="G9" s="329">
        <v>0.1</v>
      </c>
    </row>
    <row r="10" spans="1:7">
      <c r="A10" s="317" t="s">
        <v>241</v>
      </c>
      <c r="B10" s="318" t="s">
        <v>2242</v>
      </c>
      <c r="C10" s="319">
        <v>0.067</v>
      </c>
      <c r="D10" s="319">
        <v>0.079</v>
      </c>
      <c r="E10" s="319">
        <v>0.079</v>
      </c>
      <c r="F10" s="319">
        <v>0.1</v>
      </c>
      <c r="G10" s="320">
        <v>0.091</v>
      </c>
    </row>
    <row r="11" spans="1:7">
      <c r="A11" s="321" t="s">
        <v>241</v>
      </c>
      <c r="B11" s="322" t="s">
        <v>2255</v>
      </c>
      <c r="C11" s="323">
        <v>0.05</v>
      </c>
      <c r="D11" s="323">
        <v>0.053</v>
      </c>
      <c r="E11" s="323">
        <v>0.063</v>
      </c>
      <c r="F11" s="323">
        <v>0.1</v>
      </c>
      <c r="G11" s="324">
        <v>0.072</v>
      </c>
    </row>
    <row r="12" spans="1:7">
      <c r="A12" s="321" t="s">
        <v>241</v>
      </c>
      <c r="B12" s="322" t="s">
        <v>2269</v>
      </c>
      <c r="C12" s="323">
        <v>0.053</v>
      </c>
      <c r="D12" s="323">
        <v>0.09</v>
      </c>
      <c r="E12" s="323">
        <v>0.072</v>
      </c>
      <c r="F12" s="323">
        <v>0.1</v>
      </c>
      <c r="G12" s="324">
        <v>0.097</v>
      </c>
    </row>
    <row r="13" spans="1:7">
      <c r="A13" s="321" t="s">
        <v>241</v>
      </c>
      <c r="B13" s="322" t="s">
        <v>2281</v>
      </c>
      <c r="C13" s="323">
        <v>0.097</v>
      </c>
      <c r="D13" s="323">
        <v>0.092</v>
      </c>
      <c r="E13" s="323">
        <v>0.095</v>
      </c>
      <c r="F13" s="323">
        <v>0.1</v>
      </c>
      <c r="G13" s="324">
        <v>0.097</v>
      </c>
    </row>
    <row r="14" spans="1:7">
      <c r="A14" s="321" t="s">
        <v>241</v>
      </c>
      <c r="B14" s="322" t="s">
        <v>2293</v>
      </c>
      <c r="C14" s="323">
        <v>0.097</v>
      </c>
      <c r="D14" s="323">
        <v>0.097</v>
      </c>
      <c r="E14" s="323">
        <v>0.097</v>
      </c>
      <c r="F14" s="323">
        <v>0.1</v>
      </c>
      <c r="G14" s="324">
        <v>0.098</v>
      </c>
    </row>
    <row r="15" spans="1:7">
      <c r="A15" s="321" t="s">
        <v>241</v>
      </c>
      <c r="B15" s="322" t="s">
        <v>2304</v>
      </c>
      <c r="C15" s="323">
        <v>0.098</v>
      </c>
      <c r="D15" s="323">
        <v>0.091</v>
      </c>
      <c r="E15" s="323">
        <v>0.06</v>
      </c>
      <c r="F15" s="323">
        <v>0.1</v>
      </c>
      <c r="G15" s="324">
        <v>0.097</v>
      </c>
    </row>
    <row r="16" spans="1:7">
      <c r="A16" s="321" t="s">
        <v>241</v>
      </c>
      <c r="B16" s="322" t="s">
        <v>2315</v>
      </c>
      <c r="C16" s="323">
        <v>0.098</v>
      </c>
      <c r="D16" s="323">
        <v>0.097</v>
      </c>
      <c r="E16" s="323">
        <v>0.095</v>
      </c>
      <c r="F16" s="323">
        <v>0.1</v>
      </c>
      <c r="G16" s="324">
        <v>0.099</v>
      </c>
    </row>
    <row r="17" spans="1:7">
      <c r="A17" s="321" t="s">
        <v>241</v>
      </c>
      <c r="B17" s="322" t="s">
        <v>2326</v>
      </c>
      <c r="C17" s="323">
        <v>0.089</v>
      </c>
      <c r="D17" s="323">
        <v>0.092</v>
      </c>
      <c r="E17" s="323">
        <v>0.061</v>
      </c>
      <c r="F17" s="323">
        <v>0.1</v>
      </c>
      <c r="G17" s="324">
        <v>0.097</v>
      </c>
    </row>
    <row r="18" spans="1:7">
      <c r="A18" s="321" t="s">
        <v>241</v>
      </c>
      <c r="B18" s="322" t="s">
        <v>2336</v>
      </c>
      <c r="C18" s="323">
        <v>0.098</v>
      </c>
      <c r="D18" s="323">
        <v>0.098</v>
      </c>
      <c r="E18" s="323">
        <v>0.098</v>
      </c>
      <c r="F18" s="330"/>
      <c r="G18" s="324">
        <v>0.099</v>
      </c>
    </row>
    <row r="19" spans="1:7">
      <c r="A19" s="321" t="s">
        <v>241</v>
      </c>
      <c r="B19" s="322" t="s">
        <v>2346</v>
      </c>
      <c r="C19" s="323">
        <v>0.099</v>
      </c>
      <c r="D19" s="323">
        <v>0.074</v>
      </c>
      <c r="E19" s="323">
        <v>0.081</v>
      </c>
      <c r="F19" s="330"/>
      <c r="G19" s="324">
        <v>0.093</v>
      </c>
    </row>
    <row r="20" spans="1:7">
      <c r="A20" s="321" t="s">
        <v>241</v>
      </c>
      <c r="B20" s="322" t="s">
        <v>2356</v>
      </c>
      <c r="C20" s="323">
        <v>0.1</v>
      </c>
      <c r="D20" s="323">
        <v>0.089</v>
      </c>
      <c r="E20" s="323">
        <v>0.089</v>
      </c>
      <c r="F20" s="330"/>
      <c r="G20" s="324">
        <v>0.095</v>
      </c>
    </row>
    <row r="21" spans="1:7">
      <c r="A21" s="321" t="s">
        <v>241</v>
      </c>
      <c r="B21" s="322" t="s">
        <v>2366</v>
      </c>
      <c r="C21" s="323">
        <v>0.1</v>
      </c>
      <c r="D21" s="323">
        <v>0.091</v>
      </c>
      <c r="E21" s="323">
        <v>0.082</v>
      </c>
      <c r="F21" s="330"/>
      <c r="G21" s="324">
        <v>0.097</v>
      </c>
    </row>
    <row r="22" spans="1:7">
      <c r="A22" s="321" t="s">
        <v>241</v>
      </c>
      <c r="B22" s="322" t="s">
        <v>2376</v>
      </c>
      <c r="C22" s="323">
        <v>0.095</v>
      </c>
      <c r="D22" s="323">
        <v>0.099</v>
      </c>
      <c r="E22" s="323">
        <v>0.098</v>
      </c>
      <c r="F22" s="330"/>
      <c r="G22" s="324">
        <v>0.1</v>
      </c>
    </row>
    <row r="23" spans="1:7">
      <c r="A23" s="321" t="s">
        <v>241</v>
      </c>
      <c r="B23" s="322" t="s">
        <v>2386</v>
      </c>
      <c r="C23" s="323">
        <v>0.099</v>
      </c>
      <c r="D23" s="323">
        <v>0.1</v>
      </c>
      <c r="E23" s="323">
        <v>0.1</v>
      </c>
      <c r="F23" s="330"/>
      <c r="G23" s="324">
        <v>0.1</v>
      </c>
    </row>
    <row r="24" spans="1:7">
      <c r="A24" s="321" t="s">
        <v>241</v>
      </c>
      <c r="B24" s="322" t="s">
        <v>2396</v>
      </c>
      <c r="C24" s="323">
        <v>0.095</v>
      </c>
      <c r="D24" s="323">
        <v>0.1</v>
      </c>
      <c r="E24" s="323">
        <v>0.098</v>
      </c>
      <c r="F24" s="330"/>
      <c r="G24" s="324">
        <v>0.1</v>
      </c>
    </row>
    <row r="25" spans="1:7">
      <c r="A25" s="321" t="s">
        <v>241</v>
      </c>
      <c r="B25" s="322" t="s">
        <v>2406</v>
      </c>
      <c r="C25" s="323">
        <v>0.05</v>
      </c>
      <c r="D25" s="323">
        <v>0.096</v>
      </c>
      <c r="E25" s="323">
        <v>0.096</v>
      </c>
      <c r="F25" s="330"/>
      <c r="G25" s="324">
        <v>0.096</v>
      </c>
    </row>
    <row r="26" spans="1:7">
      <c r="A26" s="321" t="s">
        <v>241</v>
      </c>
      <c r="B26" s="322" t="s">
        <v>2416</v>
      </c>
      <c r="C26" s="323">
        <v>0.063</v>
      </c>
      <c r="D26" s="323">
        <v>0.099</v>
      </c>
      <c r="E26" s="323">
        <v>0.098</v>
      </c>
      <c r="F26" s="330"/>
      <c r="G26" s="324">
        <v>0.1</v>
      </c>
    </row>
    <row r="27" spans="1:7">
      <c r="A27" s="321" t="s">
        <v>241</v>
      </c>
      <c r="B27" s="322" t="s">
        <v>2426</v>
      </c>
      <c r="C27" s="323">
        <v>0.052</v>
      </c>
      <c r="D27" s="323">
        <v>0.095</v>
      </c>
      <c r="E27" s="323">
        <v>0.064</v>
      </c>
      <c r="F27" s="330"/>
      <c r="G27" s="324">
        <v>0.097</v>
      </c>
    </row>
    <row r="28" spans="1:7">
      <c r="A28" s="321" t="s">
        <v>241</v>
      </c>
      <c r="B28" s="322" t="s">
        <v>2436</v>
      </c>
      <c r="C28" s="330"/>
      <c r="D28" s="323">
        <v>0.063</v>
      </c>
      <c r="E28" s="323">
        <v>0.052</v>
      </c>
      <c r="F28" s="330"/>
      <c r="G28" s="324">
        <v>0.063</v>
      </c>
    </row>
    <row r="29" ht="14.25" spans="1:7">
      <c r="A29" s="325" t="s">
        <v>241</v>
      </c>
      <c r="B29" s="326" t="s">
        <v>2446</v>
      </c>
      <c r="C29" s="331"/>
      <c r="D29" s="327">
        <v>0.052</v>
      </c>
      <c r="E29" s="327">
        <v>0.07</v>
      </c>
      <c r="F29" s="331"/>
      <c r="G29" s="329">
        <v>0.071</v>
      </c>
    </row>
    <row r="30" spans="1:7">
      <c r="A30" s="332" t="s">
        <v>251</v>
      </c>
      <c r="B30" s="318" t="s">
        <v>2243</v>
      </c>
      <c r="C30" s="319">
        <v>0.066</v>
      </c>
      <c r="D30" s="319">
        <v>0.066</v>
      </c>
      <c r="E30" s="319">
        <v>0.057</v>
      </c>
      <c r="F30" s="319">
        <v>0.1</v>
      </c>
      <c r="G30" s="320">
        <v>0.068</v>
      </c>
    </row>
    <row r="31" spans="1:7">
      <c r="A31" s="333" t="s">
        <v>251</v>
      </c>
      <c r="B31" s="322" t="s">
        <v>2256</v>
      </c>
      <c r="C31" s="323">
        <v>0.055</v>
      </c>
      <c r="D31" s="323">
        <v>0.082</v>
      </c>
      <c r="E31" s="323">
        <v>0.064</v>
      </c>
      <c r="F31" s="323">
        <v>0.1</v>
      </c>
      <c r="G31" s="324">
        <v>0.095</v>
      </c>
    </row>
    <row r="32" spans="1:7">
      <c r="A32" s="333" t="s">
        <v>251</v>
      </c>
      <c r="B32" s="322" t="s">
        <v>2270</v>
      </c>
      <c r="C32" s="323">
        <v>0.082</v>
      </c>
      <c r="D32" s="323">
        <v>0.087</v>
      </c>
      <c r="E32" s="323">
        <v>0.095</v>
      </c>
      <c r="F32" s="323">
        <v>0.1</v>
      </c>
      <c r="G32" s="324">
        <v>0.096</v>
      </c>
    </row>
    <row r="33" spans="1:7">
      <c r="A33" s="333" t="s">
        <v>251</v>
      </c>
      <c r="B33" s="322" t="s">
        <v>2282</v>
      </c>
      <c r="C33" s="323">
        <v>0.099</v>
      </c>
      <c r="D33" s="323">
        <v>0.092</v>
      </c>
      <c r="E33" s="323">
        <v>0.087</v>
      </c>
      <c r="F33" s="323">
        <v>0.1</v>
      </c>
      <c r="G33" s="324">
        <v>0.097</v>
      </c>
    </row>
    <row r="34" spans="1:7">
      <c r="A34" s="333" t="s">
        <v>251</v>
      </c>
      <c r="B34" s="322" t="s">
        <v>2294</v>
      </c>
      <c r="C34" s="323">
        <v>0.084</v>
      </c>
      <c r="D34" s="323">
        <v>0.097</v>
      </c>
      <c r="E34" s="323">
        <v>0.071</v>
      </c>
      <c r="F34" s="323">
        <v>0.1</v>
      </c>
      <c r="G34" s="324">
        <v>0.098</v>
      </c>
    </row>
    <row r="35" spans="1:7">
      <c r="A35" s="333" t="s">
        <v>251</v>
      </c>
      <c r="B35" s="322" t="s">
        <v>2305</v>
      </c>
      <c r="C35" s="323">
        <v>0.083</v>
      </c>
      <c r="D35" s="323">
        <v>0.097</v>
      </c>
      <c r="E35" s="323">
        <v>0.061</v>
      </c>
      <c r="F35" s="323">
        <v>0.1</v>
      </c>
      <c r="G35" s="324">
        <v>0.099</v>
      </c>
    </row>
    <row r="36" spans="1:7">
      <c r="A36" s="333" t="s">
        <v>251</v>
      </c>
      <c r="B36" s="322" t="s">
        <v>2316</v>
      </c>
      <c r="C36" s="323">
        <v>0.097</v>
      </c>
      <c r="D36" s="323">
        <v>0.097</v>
      </c>
      <c r="E36" s="323">
        <v>0.078</v>
      </c>
      <c r="F36" s="323">
        <v>0.1</v>
      </c>
      <c r="G36" s="324">
        <v>0.099</v>
      </c>
    </row>
    <row r="37" spans="1:7">
      <c r="A37" s="333" t="s">
        <v>251</v>
      </c>
      <c r="B37" s="322" t="s">
        <v>2327</v>
      </c>
      <c r="C37" s="323">
        <v>0.097</v>
      </c>
      <c r="D37" s="323">
        <v>0.095</v>
      </c>
      <c r="E37" s="323">
        <v>0.078</v>
      </c>
      <c r="F37" s="323">
        <v>0.1</v>
      </c>
      <c r="G37" s="324">
        <v>0.097</v>
      </c>
    </row>
    <row r="38" spans="1:7">
      <c r="A38" s="333" t="s">
        <v>251</v>
      </c>
      <c r="B38" s="322" t="s">
        <v>2337</v>
      </c>
      <c r="C38" s="323">
        <v>0.097</v>
      </c>
      <c r="D38" s="323">
        <v>0.077</v>
      </c>
      <c r="E38" s="323">
        <v>0.07</v>
      </c>
      <c r="F38" s="323">
        <v>0.1</v>
      </c>
      <c r="G38" s="324">
        <v>0.077</v>
      </c>
    </row>
    <row r="39" spans="1:7">
      <c r="A39" s="333" t="s">
        <v>251</v>
      </c>
      <c r="B39" s="322" t="s">
        <v>2347</v>
      </c>
      <c r="C39" s="323">
        <v>0.095</v>
      </c>
      <c r="D39" s="323">
        <v>0.077</v>
      </c>
      <c r="E39" s="323">
        <v>0.066</v>
      </c>
      <c r="F39" s="323">
        <v>0.1</v>
      </c>
      <c r="G39" s="324">
        <v>0.086</v>
      </c>
    </row>
    <row r="40" spans="1:7">
      <c r="A40" s="333" t="s">
        <v>251</v>
      </c>
      <c r="B40" s="322" t="s">
        <v>2357</v>
      </c>
      <c r="C40" s="323">
        <v>0.077</v>
      </c>
      <c r="D40" s="323">
        <v>0.078</v>
      </c>
      <c r="E40" s="323">
        <v>0.082</v>
      </c>
      <c r="F40" s="334"/>
      <c r="G40" s="324">
        <v>0.078</v>
      </c>
    </row>
    <row r="41" spans="1:7">
      <c r="A41" s="333" t="s">
        <v>251</v>
      </c>
      <c r="B41" s="322" t="s">
        <v>2367</v>
      </c>
      <c r="C41" s="323">
        <v>0.078</v>
      </c>
      <c r="D41" s="323">
        <v>0.078</v>
      </c>
      <c r="E41" s="323">
        <v>0.082</v>
      </c>
      <c r="F41" s="334"/>
      <c r="G41" s="324">
        <v>0.086</v>
      </c>
    </row>
    <row r="42" spans="1:7">
      <c r="A42" s="333" t="s">
        <v>251</v>
      </c>
      <c r="B42" s="322" t="s">
        <v>2377</v>
      </c>
      <c r="C42" s="323">
        <v>0.078</v>
      </c>
      <c r="D42" s="323">
        <v>0.096</v>
      </c>
      <c r="E42" s="323">
        <v>0.072</v>
      </c>
      <c r="F42" s="334"/>
      <c r="G42" s="324">
        <v>0.098</v>
      </c>
    </row>
    <row r="43" spans="1:7">
      <c r="A43" s="333" t="s">
        <v>251</v>
      </c>
      <c r="B43" s="322" t="s">
        <v>2387</v>
      </c>
      <c r="C43" s="323">
        <v>0.078</v>
      </c>
      <c r="D43" s="323">
        <v>0.099</v>
      </c>
      <c r="E43" s="323">
        <v>0.096</v>
      </c>
      <c r="F43" s="334"/>
      <c r="G43" s="324">
        <v>0.1</v>
      </c>
    </row>
    <row r="44" spans="1:7">
      <c r="A44" s="333" t="s">
        <v>251</v>
      </c>
      <c r="B44" s="322" t="s">
        <v>2397</v>
      </c>
      <c r="C44" s="323">
        <v>0.096</v>
      </c>
      <c r="D44" s="323">
        <v>0.1</v>
      </c>
      <c r="E44" s="323">
        <v>0.098</v>
      </c>
      <c r="F44" s="334"/>
      <c r="G44" s="324">
        <v>0.1</v>
      </c>
    </row>
    <row r="45" spans="1:7">
      <c r="A45" s="333" t="s">
        <v>251</v>
      </c>
      <c r="B45" s="322" t="s">
        <v>2407</v>
      </c>
      <c r="C45" s="323">
        <v>0.099</v>
      </c>
      <c r="D45" s="323">
        <v>0.098</v>
      </c>
      <c r="E45" s="323">
        <v>0.095</v>
      </c>
      <c r="F45" s="334"/>
      <c r="G45" s="324">
        <v>0.098</v>
      </c>
    </row>
    <row r="46" spans="1:7">
      <c r="A46" s="333" t="s">
        <v>251</v>
      </c>
      <c r="B46" s="322" t="s">
        <v>2417</v>
      </c>
      <c r="C46" s="323">
        <v>0.1</v>
      </c>
      <c r="D46" s="323">
        <v>0.099</v>
      </c>
      <c r="E46" s="323">
        <v>0.096</v>
      </c>
      <c r="F46" s="334"/>
      <c r="G46" s="324">
        <v>0.1</v>
      </c>
    </row>
    <row r="47" spans="1:7">
      <c r="A47" s="333" t="s">
        <v>251</v>
      </c>
      <c r="B47" s="322" t="s">
        <v>2427</v>
      </c>
      <c r="C47" s="323">
        <v>0.098</v>
      </c>
      <c r="D47" s="323">
        <v>0.087</v>
      </c>
      <c r="E47" s="323">
        <v>0.059</v>
      </c>
      <c r="F47" s="334"/>
      <c r="G47" s="324">
        <v>0.096</v>
      </c>
    </row>
    <row r="48" spans="1:7">
      <c r="A48" s="333" t="s">
        <v>251</v>
      </c>
      <c r="B48" s="322" t="s">
        <v>2437</v>
      </c>
      <c r="C48" s="323">
        <v>0.099</v>
      </c>
      <c r="D48" s="323">
        <v>0.098</v>
      </c>
      <c r="E48" s="323">
        <v>0.095</v>
      </c>
      <c r="F48" s="334"/>
      <c r="G48" s="324">
        <v>0.098</v>
      </c>
    </row>
    <row r="49" spans="1:7">
      <c r="A49" s="333" t="s">
        <v>251</v>
      </c>
      <c r="B49" s="322" t="s">
        <v>2447</v>
      </c>
      <c r="C49" s="323">
        <v>0.088</v>
      </c>
      <c r="D49" s="323">
        <v>0.099</v>
      </c>
      <c r="E49" s="323">
        <v>0.07</v>
      </c>
      <c r="F49" s="334"/>
      <c r="G49" s="324">
        <v>0.1</v>
      </c>
    </row>
    <row r="50" spans="1:7">
      <c r="A50" s="333" t="s">
        <v>251</v>
      </c>
      <c r="B50" s="322" t="s">
        <v>2456</v>
      </c>
      <c r="C50" s="323">
        <v>0.098</v>
      </c>
      <c r="D50" s="323">
        <v>0.073</v>
      </c>
      <c r="E50" s="323">
        <v>0.071</v>
      </c>
      <c r="F50" s="334"/>
      <c r="G50" s="324">
        <v>0.073</v>
      </c>
    </row>
    <row r="51" spans="1:7">
      <c r="A51" s="333" t="s">
        <v>251</v>
      </c>
      <c r="B51" s="322" t="s">
        <v>2464</v>
      </c>
      <c r="C51" s="323">
        <v>0.099</v>
      </c>
      <c r="D51" s="323">
        <v>0.085</v>
      </c>
      <c r="E51" s="323">
        <v>0.063</v>
      </c>
      <c r="F51" s="334"/>
      <c r="G51" s="324">
        <v>0.096</v>
      </c>
    </row>
    <row r="52" spans="1:7">
      <c r="A52" s="333" t="s">
        <v>251</v>
      </c>
      <c r="B52" s="322" t="s">
        <v>2472</v>
      </c>
      <c r="C52" s="323">
        <v>0.074</v>
      </c>
      <c r="D52" s="323">
        <v>0.096</v>
      </c>
      <c r="E52" s="323">
        <v>0.05</v>
      </c>
      <c r="F52" s="334"/>
      <c r="G52" s="324">
        <v>0.098</v>
      </c>
    </row>
    <row r="53" spans="1:7">
      <c r="A53" s="333" t="s">
        <v>251</v>
      </c>
      <c r="B53" s="322" t="s">
        <v>2480</v>
      </c>
      <c r="C53" s="323">
        <v>0.086</v>
      </c>
      <c r="D53" s="334"/>
      <c r="E53" s="323">
        <v>0.092</v>
      </c>
      <c r="F53" s="334"/>
      <c r="G53" s="335"/>
    </row>
    <row r="54" ht="14.25" spans="1:7">
      <c r="A54" s="336" t="s">
        <v>251</v>
      </c>
      <c r="B54" s="326" t="s">
        <v>2488</v>
      </c>
      <c r="C54" s="327">
        <v>0.096</v>
      </c>
      <c r="D54" s="328"/>
      <c r="E54" s="337"/>
      <c r="F54" s="328"/>
      <c r="G54" s="338"/>
    </row>
    <row r="55" spans="1:7">
      <c r="A55" s="332" t="s">
        <v>259</v>
      </c>
      <c r="B55" s="318" t="s">
        <v>2244</v>
      </c>
      <c r="C55" s="319">
        <v>0.096</v>
      </c>
      <c r="D55" s="319">
        <v>0.084</v>
      </c>
      <c r="E55" s="319">
        <v>0.092</v>
      </c>
      <c r="F55" s="319">
        <v>0.1</v>
      </c>
      <c r="G55" s="320">
        <v>0.095</v>
      </c>
    </row>
    <row r="56" spans="1:7">
      <c r="A56" s="333" t="s">
        <v>259</v>
      </c>
      <c r="B56" s="322" t="s">
        <v>2257</v>
      </c>
      <c r="C56" s="323">
        <v>0.084</v>
      </c>
      <c r="D56" s="323">
        <v>0.092</v>
      </c>
      <c r="E56" s="323">
        <v>0.095</v>
      </c>
      <c r="F56" s="323">
        <v>0.092</v>
      </c>
      <c r="G56" s="324">
        <v>0.096</v>
      </c>
    </row>
    <row r="57" spans="1:7">
      <c r="A57" s="333" t="s">
        <v>259</v>
      </c>
      <c r="B57" s="322" t="s">
        <v>2271</v>
      </c>
      <c r="C57" s="323">
        <v>0.099</v>
      </c>
      <c r="D57" s="323">
        <v>0.096</v>
      </c>
      <c r="E57" s="323">
        <v>0.092</v>
      </c>
      <c r="F57" s="323">
        <v>0.1</v>
      </c>
      <c r="G57" s="324">
        <v>0.098</v>
      </c>
    </row>
    <row r="58" spans="1:7">
      <c r="A58" s="333" t="s">
        <v>259</v>
      </c>
      <c r="B58" s="322" t="s">
        <v>2283</v>
      </c>
      <c r="C58" s="323">
        <v>0.098</v>
      </c>
      <c r="D58" s="323">
        <v>0.095</v>
      </c>
      <c r="E58" s="323">
        <v>0.057</v>
      </c>
      <c r="F58" s="323">
        <v>0.1</v>
      </c>
      <c r="G58" s="324">
        <v>0.096</v>
      </c>
    </row>
    <row r="59" spans="1:7">
      <c r="A59" s="333" t="s">
        <v>259</v>
      </c>
      <c r="B59" s="322" t="s">
        <v>2295</v>
      </c>
      <c r="C59" s="323">
        <v>0.095</v>
      </c>
      <c r="D59" s="323">
        <v>0.1</v>
      </c>
      <c r="E59" s="323">
        <v>0.075</v>
      </c>
      <c r="F59" s="323">
        <v>0.1</v>
      </c>
      <c r="G59" s="324">
        <v>0.1</v>
      </c>
    </row>
    <row r="60" spans="1:7">
      <c r="A60" s="333" t="s">
        <v>259</v>
      </c>
      <c r="B60" s="322" t="s">
        <v>2306</v>
      </c>
      <c r="C60" s="323">
        <v>0.1</v>
      </c>
      <c r="D60" s="323">
        <v>0.097</v>
      </c>
      <c r="E60" s="323">
        <v>0.1</v>
      </c>
      <c r="F60" s="323">
        <v>0.1</v>
      </c>
      <c r="G60" s="324">
        <v>0.097</v>
      </c>
    </row>
    <row r="61" spans="1:7">
      <c r="A61" s="333" t="s">
        <v>259</v>
      </c>
      <c r="B61" s="322" t="s">
        <v>2317</v>
      </c>
      <c r="C61" s="323">
        <v>0.097</v>
      </c>
      <c r="D61" s="323">
        <v>0.1</v>
      </c>
      <c r="E61" s="323">
        <v>0.093</v>
      </c>
      <c r="F61" s="323">
        <v>0.1</v>
      </c>
      <c r="G61" s="324">
        <v>0.1</v>
      </c>
    </row>
    <row r="62" spans="1:7">
      <c r="A62" s="333" t="s">
        <v>259</v>
      </c>
      <c r="B62" s="322" t="s">
        <v>2328</v>
      </c>
      <c r="C62" s="323">
        <v>0.1</v>
      </c>
      <c r="D62" s="323">
        <v>0.097</v>
      </c>
      <c r="E62" s="323">
        <v>0.089</v>
      </c>
      <c r="F62" s="323">
        <v>0.1</v>
      </c>
      <c r="G62" s="324">
        <v>0.098</v>
      </c>
    </row>
    <row r="63" spans="1:7">
      <c r="A63" s="333" t="s">
        <v>259</v>
      </c>
      <c r="B63" s="322" t="s">
        <v>2338</v>
      </c>
      <c r="C63" s="323">
        <v>0.097</v>
      </c>
      <c r="D63" s="323">
        <v>0.097</v>
      </c>
      <c r="E63" s="323">
        <v>0.099</v>
      </c>
      <c r="F63" s="323">
        <v>0.1</v>
      </c>
      <c r="G63" s="324">
        <v>0.097</v>
      </c>
    </row>
    <row r="64" spans="1:7">
      <c r="A64" s="333" t="s">
        <v>259</v>
      </c>
      <c r="B64" s="322" t="s">
        <v>2348</v>
      </c>
      <c r="C64" s="323">
        <v>0.097</v>
      </c>
      <c r="D64" s="323">
        <v>0.074</v>
      </c>
      <c r="E64" s="323">
        <v>0.078</v>
      </c>
      <c r="F64" s="323">
        <v>0.1</v>
      </c>
      <c r="G64" s="324">
        <v>0.089</v>
      </c>
    </row>
    <row r="65" spans="1:7">
      <c r="A65" s="333" t="s">
        <v>259</v>
      </c>
      <c r="B65" s="322" t="s">
        <v>2358</v>
      </c>
      <c r="C65" s="323">
        <v>0.073</v>
      </c>
      <c r="D65" s="323">
        <v>0.098</v>
      </c>
      <c r="E65" s="323">
        <v>0.095</v>
      </c>
      <c r="F65" s="323">
        <v>0.1</v>
      </c>
      <c r="G65" s="324">
        <v>0.099</v>
      </c>
    </row>
    <row r="66" spans="1:7">
      <c r="A66" s="333" t="s">
        <v>259</v>
      </c>
      <c r="B66" s="322" t="s">
        <v>2368</v>
      </c>
      <c r="C66" s="323">
        <v>0.098</v>
      </c>
      <c r="D66" s="323">
        <v>0.095</v>
      </c>
      <c r="E66" s="323">
        <v>0.05</v>
      </c>
      <c r="F66" s="323">
        <v>0.1</v>
      </c>
      <c r="G66" s="324">
        <v>0.097</v>
      </c>
    </row>
    <row r="67" spans="1:7">
      <c r="A67" s="333" t="s">
        <v>259</v>
      </c>
      <c r="B67" s="322" t="s">
        <v>2378</v>
      </c>
      <c r="C67" s="323">
        <v>0.095</v>
      </c>
      <c r="D67" s="323">
        <v>0.097</v>
      </c>
      <c r="E67" s="323">
        <v>0.097</v>
      </c>
      <c r="F67" s="323">
        <v>0.1</v>
      </c>
      <c r="G67" s="324">
        <v>0.099</v>
      </c>
    </row>
    <row r="68" spans="1:7">
      <c r="A68" s="333" t="s">
        <v>259</v>
      </c>
      <c r="B68" s="322" t="s">
        <v>2388</v>
      </c>
      <c r="C68" s="323">
        <v>0.097</v>
      </c>
      <c r="D68" s="323">
        <v>0.068</v>
      </c>
      <c r="E68" s="323">
        <v>0.066</v>
      </c>
      <c r="F68" s="323">
        <v>0.1</v>
      </c>
      <c r="G68" s="324">
        <v>0.084</v>
      </c>
    </row>
    <row r="69" spans="1:7">
      <c r="A69" s="333" t="s">
        <v>259</v>
      </c>
      <c r="B69" s="322" t="s">
        <v>2398</v>
      </c>
      <c r="C69" s="323">
        <v>0.068</v>
      </c>
      <c r="D69" s="323">
        <v>0.098</v>
      </c>
      <c r="E69" s="323">
        <v>0.095</v>
      </c>
      <c r="F69" s="323">
        <v>0.1</v>
      </c>
      <c r="G69" s="324">
        <v>0.1</v>
      </c>
    </row>
    <row r="70" spans="1:7">
      <c r="A70" s="333" t="s">
        <v>259</v>
      </c>
      <c r="B70" s="322" t="s">
        <v>2408</v>
      </c>
      <c r="C70" s="323">
        <v>0.098</v>
      </c>
      <c r="D70" s="323">
        <v>0.089</v>
      </c>
      <c r="E70" s="323">
        <v>0.059</v>
      </c>
      <c r="F70" s="323">
        <v>0.1</v>
      </c>
      <c r="G70" s="324">
        <v>0.096</v>
      </c>
    </row>
    <row r="71" spans="1:7">
      <c r="A71" s="333" t="s">
        <v>259</v>
      </c>
      <c r="B71" s="322" t="s">
        <v>2418</v>
      </c>
      <c r="C71" s="323">
        <v>0.089</v>
      </c>
      <c r="D71" s="323">
        <v>0.099</v>
      </c>
      <c r="E71" s="323">
        <v>0.096</v>
      </c>
      <c r="F71" s="323">
        <v>0.1</v>
      </c>
      <c r="G71" s="324">
        <v>0.1</v>
      </c>
    </row>
    <row r="72" spans="1:7">
      <c r="A72" s="333" t="s">
        <v>259</v>
      </c>
      <c r="B72" s="322" t="s">
        <v>2428</v>
      </c>
      <c r="C72" s="323">
        <v>0.099</v>
      </c>
      <c r="D72" s="323">
        <v>0.1</v>
      </c>
      <c r="E72" s="323">
        <v>0.07</v>
      </c>
      <c r="F72" s="334"/>
      <c r="G72" s="324">
        <v>0.1</v>
      </c>
    </row>
    <row r="73" spans="1:7">
      <c r="A73" s="333" t="s">
        <v>259</v>
      </c>
      <c r="B73" s="322" t="s">
        <v>2438</v>
      </c>
      <c r="C73" s="323">
        <v>0.1</v>
      </c>
      <c r="D73" s="323">
        <v>0.1</v>
      </c>
      <c r="E73" s="323">
        <v>0.096</v>
      </c>
      <c r="F73" s="334"/>
      <c r="G73" s="324">
        <v>0.1</v>
      </c>
    </row>
    <row r="74" spans="1:7">
      <c r="A74" s="333" t="s">
        <v>259</v>
      </c>
      <c r="B74" s="322" t="s">
        <v>2448</v>
      </c>
      <c r="C74" s="323">
        <v>0.1</v>
      </c>
      <c r="D74" s="323">
        <v>0.1</v>
      </c>
      <c r="E74" s="323">
        <v>0.098</v>
      </c>
      <c r="F74" s="334"/>
      <c r="G74" s="324">
        <v>0.1</v>
      </c>
    </row>
    <row r="75" spans="1:7">
      <c r="A75" s="333" t="s">
        <v>259</v>
      </c>
      <c r="B75" s="322" t="s">
        <v>2457</v>
      </c>
      <c r="C75" s="323">
        <v>0.1</v>
      </c>
      <c r="D75" s="323">
        <v>0.099</v>
      </c>
      <c r="E75" s="323">
        <v>0.098</v>
      </c>
      <c r="F75" s="334"/>
      <c r="G75" s="324">
        <v>0.1</v>
      </c>
    </row>
    <row r="76" spans="1:7">
      <c r="A76" s="333" t="s">
        <v>259</v>
      </c>
      <c r="B76" s="322" t="s">
        <v>2465</v>
      </c>
      <c r="C76" s="323">
        <v>0.099</v>
      </c>
      <c r="D76" s="323">
        <v>0.1</v>
      </c>
      <c r="E76" s="323">
        <v>0.097</v>
      </c>
      <c r="F76" s="334"/>
      <c r="G76" s="324">
        <v>0.1</v>
      </c>
    </row>
    <row r="77" spans="1:7">
      <c r="A77" s="333" t="s">
        <v>259</v>
      </c>
      <c r="B77" s="322" t="s">
        <v>2473</v>
      </c>
      <c r="C77" s="323">
        <v>0.1</v>
      </c>
      <c r="D77" s="323">
        <v>0.1</v>
      </c>
      <c r="E77" s="323">
        <v>0.096</v>
      </c>
      <c r="F77" s="334"/>
      <c r="G77" s="324">
        <v>0.1</v>
      </c>
    </row>
    <row r="78" spans="1:7">
      <c r="A78" s="333" t="s">
        <v>259</v>
      </c>
      <c r="B78" s="322" t="s">
        <v>2481</v>
      </c>
      <c r="C78" s="323">
        <v>0.1</v>
      </c>
      <c r="D78" s="323">
        <v>0.085</v>
      </c>
      <c r="E78" s="323">
        <v>0.096</v>
      </c>
      <c r="F78" s="334"/>
      <c r="G78" s="324">
        <v>0.096</v>
      </c>
    </row>
    <row r="79" spans="1:7">
      <c r="A79" s="333" t="s">
        <v>259</v>
      </c>
      <c r="B79" s="322" t="s">
        <v>2489</v>
      </c>
      <c r="C79" s="323">
        <v>0.05</v>
      </c>
      <c r="D79" s="323">
        <v>0.096</v>
      </c>
      <c r="E79" s="323">
        <v>0.095</v>
      </c>
      <c r="F79" s="334"/>
      <c r="G79" s="324">
        <v>0.098</v>
      </c>
    </row>
    <row r="80" spans="1:7">
      <c r="A80" s="333" t="s">
        <v>259</v>
      </c>
      <c r="B80" s="322" t="s">
        <v>2496</v>
      </c>
      <c r="C80" s="323">
        <v>0.086</v>
      </c>
      <c r="D80" s="339"/>
      <c r="E80" s="323">
        <v>0.1</v>
      </c>
      <c r="F80" s="334"/>
      <c r="G80" s="335"/>
    </row>
    <row r="81" spans="1:7">
      <c r="A81" s="333" t="s">
        <v>259</v>
      </c>
      <c r="B81" s="322" t="s">
        <v>2503</v>
      </c>
      <c r="C81" s="323">
        <v>0.096</v>
      </c>
      <c r="D81" s="334"/>
      <c r="E81" s="323">
        <v>0.098</v>
      </c>
      <c r="F81" s="334"/>
      <c r="G81" s="335"/>
    </row>
    <row r="82" spans="1:7">
      <c r="A82" s="333" t="s">
        <v>259</v>
      </c>
      <c r="B82" s="322" t="s">
        <v>2510</v>
      </c>
      <c r="C82" s="339"/>
      <c r="D82" s="334"/>
      <c r="E82" s="323">
        <v>0.077</v>
      </c>
      <c r="F82" s="334"/>
      <c r="G82" s="335"/>
    </row>
    <row r="83" spans="1:7">
      <c r="A83" s="333" t="s">
        <v>259</v>
      </c>
      <c r="B83" s="322" t="s">
        <v>2517</v>
      </c>
      <c r="C83" s="334"/>
      <c r="D83" s="334"/>
      <c r="E83" s="334"/>
      <c r="F83" s="323">
        <v>0.1</v>
      </c>
      <c r="G83" s="340"/>
    </row>
    <row r="84" spans="1:7">
      <c r="A84" s="333" t="s">
        <v>259</v>
      </c>
      <c r="B84" s="322" t="s">
        <v>2524</v>
      </c>
      <c r="C84" s="334"/>
      <c r="D84" s="334"/>
      <c r="E84" s="334"/>
      <c r="F84" s="323">
        <v>0.1</v>
      </c>
      <c r="G84" s="340"/>
    </row>
    <row r="85" spans="1:7">
      <c r="A85" s="333" t="s">
        <v>259</v>
      </c>
      <c r="B85" s="322" t="s">
        <v>2531</v>
      </c>
      <c r="C85" s="334"/>
      <c r="D85" s="334"/>
      <c r="E85" s="334"/>
      <c r="F85" s="323">
        <v>0.1</v>
      </c>
      <c r="G85" s="340"/>
    </row>
    <row r="86" ht="14.25" spans="1:7">
      <c r="A86" s="336" t="s">
        <v>259</v>
      </c>
      <c r="B86" s="326" t="s">
        <v>2538</v>
      </c>
      <c r="C86" s="327">
        <v>0.098</v>
      </c>
      <c r="D86" s="327">
        <v>0.098</v>
      </c>
      <c r="E86" s="327">
        <v>0.096</v>
      </c>
      <c r="F86" s="337"/>
      <c r="G86" s="329">
        <v>0.1</v>
      </c>
    </row>
    <row r="87" spans="1:7">
      <c r="A87" s="332" t="s">
        <v>267</v>
      </c>
      <c r="B87" s="318" t="s">
        <v>2245</v>
      </c>
      <c r="C87" s="319">
        <v>0.1</v>
      </c>
      <c r="D87" s="319">
        <v>0.1</v>
      </c>
      <c r="E87" s="319">
        <v>0.098</v>
      </c>
      <c r="F87" s="319">
        <v>0.1</v>
      </c>
      <c r="G87" s="320">
        <v>0.1</v>
      </c>
    </row>
    <row r="88" spans="1:7">
      <c r="A88" s="333" t="s">
        <v>267</v>
      </c>
      <c r="B88" s="322" t="s">
        <v>2258</v>
      </c>
      <c r="C88" s="323">
        <v>0.091</v>
      </c>
      <c r="D88" s="323">
        <v>0.092</v>
      </c>
      <c r="E88" s="323">
        <v>0.1</v>
      </c>
      <c r="F88" s="323">
        <v>0.1</v>
      </c>
      <c r="G88" s="324">
        <v>0.096</v>
      </c>
    </row>
    <row r="89" spans="1:7">
      <c r="A89" s="333" t="s">
        <v>267</v>
      </c>
      <c r="B89" s="322" t="s">
        <v>2272</v>
      </c>
      <c r="C89" s="323">
        <v>0.1</v>
      </c>
      <c r="D89" s="323">
        <v>0.1</v>
      </c>
      <c r="E89" s="323">
        <v>0.067</v>
      </c>
      <c r="F89" s="323">
        <v>0.093</v>
      </c>
      <c r="G89" s="324">
        <v>0.1</v>
      </c>
    </row>
    <row r="90" spans="1:7">
      <c r="A90" s="333" t="s">
        <v>267</v>
      </c>
      <c r="B90" s="322" t="s">
        <v>2284</v>
      </c>
      <c r="C90" s="323">
        <v>0.096</v>
      </c>
      <c r="D90" s="323">
        <v>0.096</v>
      </c>
      <c r="E90" s="323">
        <v>0.1</v>
      </c>
      <c r="F90" s="323">
        <v>0.1</v>
      </c>
      <c r="G90" s="324">
        <v>0.098</v>
      </c>
    </row>
    <row r="91" spans="1:7">
      <c r="A91" s="333" t="s">
        <v>267</v>
      </c>
      <c r="B91" s="322" t="s">
        <v>2296</v>
      </c>
      <c r="C91" s="323">
        <v>0.077</v>
      </c>
      <c r="D91" s="323">
        <v>0.077</v>
      </c>
      <c r="E91" s="323">
        <v>0.096</v>
      </c>
      <c r="F91" s="323">
        <v>0.1</v>
      </c>
      <c r="G91" s="324">
        <v>0.077</v>
      </c>
    </row>
    <row r="92" spans="1:7">
      <c r="A92" s="333" t="s">
        <v>267</v>
      </c>
      <c r="B92" s="322" t="s">
        <v>2307</v>
      </c>
      <c r="C92" s="323">
        <v>0.1</v>
      </c>
      <c r="D92" s="323">
        <v>0.1</v>
      </c>
      <c r="E92" s="323">
        <v>0.092</v>
      </c>
      <c r="F92" s="323">
        <v>0.1</v>
      </c>
      <c r="G92" s="324">
        <v>0.1</v>
      </c>
    </row>
    <row r="93" spans="1:7">
      <c r="A93" s="333" t="s">
        <v>267</v>
      </c>
      <c r="B93" s="322" t="s">
        <v>2318</v>
      </c>
      <c r="C93" s="323">
        <v>0.098</v>
      </c>
      <c r="D93" s="323">
        <v>0.098</v>
      </c>
      <c r="E93" s="323">
        <v>0.096</v>
      </c>
      <c r="F93" s="323">
        <v>0.1</v>
      </c>
      <c r="G93" s="324">
        <v>0.099</v>
      </c>
    </row>
    <row r="94" spans="1:7">
      <c r="A94" s="333" t="s">
        <v>267</v>
      </c>
      <c r="B94" s="322" t="s">
        <v>2329</v>
      </c>
      <c r="C94" s="323">
        <v>0.088</v>
      </c>
      <c r="D94" s="323">
        <v>0.088</v>
      </c>
      <c r="E94" s="323">
        <v>0.096</v>
      </c>
      <c r="F94" s="323">
        <v>0.1</v>
      </c>
      <c r="G94" s="324">
        <v>0.088</v>
      </c>
    </row>
    <row r="95" spans="1:7">
      <c r="A95" s="333" t="s">
        <v>267</v>
      </c>
      <c r="B95" s="322" t="s">
        <v>2339</v>
      </c>
      <c r="C95" s="323">
        <v>0.096</v>
      </c>
      <c r="D95" s="323">
        <v>0.096</v>
      </c>
      <c r="E95" s="323">
        <v>0.1</v>
      </c>
      <c r="F95" s="323">
        <v>0.1</v>
      </c>
      <c r="G95" s="324">
        <v>0.098</v>
      </c>
    </row>
    <row r="96" spans="1:7">
      <c r="A96" s="333" t="s">
        <v>267</v>
      </c>
      <c r="B96" s="322" t="s">
        <v>2349</v>
      </c>
      <c r="C96" s="323">
        <v>0.097</v>
      </c>
      <c r="D96" s="323">
        <v>0.097</v>
      </c>
      <c r="E96" s="323">
        <v>0.1</v>
      </c>
      <c r="F96" s="323">
        <v>0.1</v>
      </c>
      <c r="G96" s="324">
        <v>0.098</v>
      </c>
    </row>
    <row r="97" spans="1:7">
      <c r="A97" s="333" t="s">
        <v>267</v>
      </c>
      <c r="B97" s="322" t="s">
        <v>2359</v>
      </c>
      <c r="C97" s="323">
        <v>0.096</v>
      </c>
      <c r="D97" s="323">
        <v>0.096</v>
      </c>
      <c r="E97" s="323">
        <v>0.099</v>
      </c>
      <c r="F97" s="323">
        <v>0.1</v>
      </c>
      <c r="G97" s="324">
        <v>0.098</v>
      </c>
    </row>
    <row r="98" spans="1:7">
      <c r="A98" s="333" t="s">
        <v>267</v>
      </c>
      <c r="B98" s="322" t="s">
        <v>2369</v>
      </c>
      <c r="C98" s="323">
        <v>0.098</v>
      </c>
      <c r="D98" s="323">
        <v>0.098</v>
      </c>
      <c r="E98" s="323">
        <v>0.1</v>
      </c>
      <c r="F98" s="323">
        <v>0.1</v>
      </c>
      <c r="G98" s="324">
        <v>0.099</v>
      </c>
    </row>
    <row r="99" spans="1:7">
      <c r="A99" s="333" t="s">
        <v>267</v>
      </c>
      <c r="B99" s="322" t="s">
        <v>2379</v>
      </c>
      <c r="C99" s="323">
        <v>0.096</v>
      </c>
      <c r="D99" s="323">
        <v>0.096</v>
      </c>
      <c r="E99" s="323">
        <v>0.1</v>
      </c>
      <c r="F99" s="323">
        <v>0.1</v>
      </c>
      <c r="G99" s="324">
        <v>0.097</v>
      </c>
    </row>
    <row r="100" spans="1:7">
      <c r="A100" s="333" t="s">
        <v>267</v>
      </c>
      <c r="B100" s="322" t="s">
        <v>2389</v>
      </c>
      <c r="C100" s="323">
        <v>0.1</v>
      </c>
      <c r="D100" s="323">
        <v>0.1</v>
      </c>
      <c r="E100" s="323">
        <v>0.097</v>
      </c>
      <c r="F100" s="323">
        <v>0.098</v>
      </c>
      <c r="G100" s="324">
        <v>0.1</v>
      </c>
    </row>
    <row r="101" spans="1:7">
      <c r="A101" s="333" t="s">
        <v>267</v>
      </c>
      <c r="B101" s="322" t="s">
        <v>2399</v>
      </c>
      <c r="C101" s="323">
        <v>0.1</v>
      </c>
      <c r="D101" s="323">
        <v>0.1</v>
      </c>
      <c r="E101" s="323">
        <v>0.095</v>
      </c>
      <c r="F101" s="323">
        <v>0.1</v>
      </c>
      <c r="G101" s="324">
        <v>0.1</v>
      </c>
    </row>
    <row r="102" spans="1:7">
      <c r="A102" s="333" t="s">
        <v>267</v>
      </c>
      <c r="B102" s="322" t="s">
        <v>2409</v>
      </c>
      <c r="C102" s="323">
        <v>0.1</v>
      </c>
      <c r="D102" s="323">
        <v>0.1</v>
      </c>
      <c r="E102" s="323">
        <v>0.099</v>
      </c>
      <c r="F102" s="323">
        <v>0.097</v>
      </c>
      <c r="G102" s="324">
        <v>0.1</v>
      </c>
    </row>
    <row r="103" spans="1:7">
      <c r="A103" s="333" t="s">
        <v>267</v>
      </c>
      <c r="B103" s="322" t="s">
        <v>2419</v>
      </c>
      <c r="C103" s="323">
        <v>0.1</v>
      </c>
      <c r="D103" s="323">
        <v>0.1</v>
      </c>
      <c r="E103" s="323">
        <v>0.098</v>
      </c>
      <c r="F103" s="323">
        <v>0.1</v>
      </c>
      <c r="G103" s="324">
        <v>0.1</v>
      </c>
    </row>
    <row r="104" spans="1:7">
      <c r="A104" s="333" t="s">
        <v>267</v>
      </c>
      <c r="B104" s="322" t="s">
        <v>2429</v>
      </c>
      <c r="C104" s="323">
        <v>0.1</v>
      </c>
      <c r="D104" s="323">
        <v>0.1</v>
      </c>
      <c r="E104" s="323">
        <v>0.098</v>
      </c>
      <c r="F104" s="323">
        <v>0.1</v>
      </c>
      <c r="G104" s="324">
        <v>0.1</v>
      </c>
    </row>
    <row r="105" spans="1:7">
      <c r="A105" s="333" t="s">
        <v>267</v>
      </c>
      <c r="B105" s="322" t="s">
        <v>2439</v>
      </c>
      <c r="C105" s="323">
        <v>0.098</v>
      </c>
      <c r="D105" s="323">
        <v>0.098</v>
      </c>
      <c r="E105" s="323">
        <v>0.098</v>
      </c>
      <c r="F105" s="323">
        <v>0.1</v>
      </c>
      <c r="G105" s="324">
        <v>0.099</v>
      </c>
    </row>
    <row r="106" spans="1:7">
      <c r="A106" s="333" t="s">
        <v>267</v>
      </c>
      <c r="B106" s="322" t="s">
        <v>2449</v>
      </c>
      <c r="C106" s="323">
        <v>0.097</v>
      </c>
      <c r="D106" s="323">
        <v>0.097</v>
      </c>
      <c r="E106" s="323">
        <v>0.097</v>
      </c>
      <c r="F106" s="323">
        <v>0.1</v>
      </c>
      <c r="G106" s="324">
        <v>0.099</v>
      </c>
    </row>
    <row r="107" spans="1:7">
      <c r="A107" s="333" t="s">
        <v>267</v>
      </c>
      <c r="B107" s="322" t="s">
        <v>2458</v>
      </c>
      <c r="C107" s="323">
        <v>0.1</v>
      </c>
      <c r="D107" s="323">
        <v>0.1</v>
      </c>
      <c r="E107" s="323">
        <v>0.086</v>
      </c>
      <c r="F107" s="323">
        <v>0.09</v>
      </c>
      <c r="G107" s="324">
        <v>0.1</v>
      </c>
    </row>
    <row r="108" spans="1:7">
      <c r="A108" s="333" t="s">
        <v>267</v>
      </c>
      <c r="B108" s="322" t="s">
        <v>2466</v>
      </c>
      <c r="C108" s="323">
        <v>0.1</v>
      </c>
      <c r="D108" s="323">
        <v>0.1</v>
      </c>
      <c r="E108" s="323">
        <v>0.096</v>
      </c>
      <c r="F108" s="334"/>
      <c r="G108" s="324">
        <v>0.1</v>
      </c>
    </row>
    <row r="109" spans="1:7">
      <c r="A109" s="333" t="s">
        <v>267</v>
      </c>
      <c r="B109" s="322" t="s">
        <v>2474</v>
      </c>
      <c r="C109" s="323">
        <v>0.1</v>
      </c>
      <c r="D109" s="323">
        <v>0.1</v>
      </c>
      <c r="E109" s="323">
        <v>0.1</v>
      </c>
      <c r="F109" s="334"/>
      <c r="G109" s="324">
        <v>0.1</v>
      </c>
    </row>
    <row r="110" spans="1:7">
      <c r="A110" s="333" t="s">
        <v>267</v>
      </c>
      <c r="B110" s="322" t="s">
        <v>2482</v>
      </c>
      <c r="C110" s="323">
        <v>0.1</v>
      </c>
      <c r="D110" s="323">
        <v>0.1</v>
      </c>
      <c r="E110" s="323">
        <v>0.1</v>
      </c>
      <c r="F110" s="334"/>
      <c r="G110" s="324">
        <v>0.1</v>
      </c>
    </row>
    <row r="111" spans="1:7">
      <c r="A111" s="333" t="s">
        <v>267</v>
      </c>
      <c r="B111" s="322" t="s">
        <v>2490</v>
      </c>
      <c r="C111" s="323">
        <v>0.1</v>
      </c>
      <c r="D111" s="323">
        <v>0.1</v>
      </c>
      <c r="E111" s="323">
        <v>0.095</v>
      </c>
      <c r="F111" s="334"/>
      <c r="G111" s="324">
        <v>0.1</v>
      </c>
    </row>
    <row r="112" spans="1:7">
      <c r="A112" s="333" t="s">
        <v>267</v>
      </c>
      <c r="B112" s="322" t="s">
        <v>2497</v>
      </c>
      <c r="C112" s="323">
        <v>0.097</v>
      </c>
      <c r="D112" s="323">
        <v>0.097</v>
      </c>
      <c r="E112" s="323">
        <v>0.05</v>
      </c>
      <c r="F112" s="334"/>
      <c r="G112" s="324">
        <v>0.098</v>
      </c>
    </row>
    <row r="113" spans="1:7">
      <c r="A113" s="333" t="s">
        <v>267</v>
      </c>
      <c r="B113" s="322" t="s">
        <v>2504</v>
      </c>
      <c r="C113" s="323">
        <v>0.1</v>
      </c>
      <c r="D113" s="323">
        <v>0.1</v>
      </c>
      <c r="E113" s="334"/>
      <c r="F113" s="334"/>
      <c r="G113" s="324">
        <v>0.1</v>
      </c>
    </row>
    <row r="114" spans="1:7">
      <c r="A114" s="333" t="s">
        <v>267</v>
      </c>
      <c r="B114" s="322" t="s">
        <v>2511</v>
      </c>
      <c r="C114" s="323">
        <v>0.097</v>
      </c>
      <c r="D114" s="323">
        <v>0.097</v>
      </c>
      <c r="E114" s="334"/>
      <c r="F114" s="334"/>
      <c r="G114" s="324">
        <v>0.099</v>
      </c>
    </row>
    <row r="115" spans="1:7">
      <c r="A115" s="333" t="s">
        <v>267</v>
      </c>
      <c r="B115" s="322" t="s">
        <v>2518</v>
      </c>
      <c r="C115" s="323">
        <v>0.1</v>
      </c>
      <c r="D115" s="323">
        <v>0.1</v>
      </c>
      <c r="E115" s="334"/>
      <c r="F115" s="334"/>
      <c r="G115" s="324">
        <v>0.1</v>
      </c>
    </row>
    <row r="116" spans="1:7">
      <c r="A116" s="333" t="s">
        <v>267</v>
      </c>
      <c r="B116" s="322" t="s">
        <v>2525</v>
      </c>
      <c r="C116" s="323">
        <v>0.1</v>
      </c>
      <c r="D116" s="323">
        <v>0.1</v>
      </c>
      <c r="E116" s="334"/>
      <c r="F116" s="334"/>
      <c r="G116" s="324">
        <v>0.1</v>
      </c>
    </row>
    <row r="117" spans="1:7">
      <c r="A117" s="333" t="s">
        <v>267</v>
      </c>
      <c r="B117" s="322" t="s">
        <v>2532</v>
      </c>
      <c r="C117" s="323">
        <v>0.097</v>
      </c>
      <c r="D117" s="323">
        <v>0.097</v>
      </c>
      <c r="E117" s="334"/>
      <c r="F117" s="334"/>
      <c r="G117" s="324">
        <v>0.097</v>
      </c>
    </row>
    <row r="118" spans="1:7">
      <c r="A118" s="333" t="s">
        <v>267</v>
      </c>
      <c r="B118" s="322" t="s">
        <v>2539</v>
      </c>
      <c r="C118" s="323">
        <v>0.1</v>
      </c>
      <c r="D118" s="323">
        <v>0.1</v>
      </c>
      <c r="E118" s="334"/>
      <c r="F118" s="334"/>
      <c r="G118" s="324">
        <v>0.1</v>
      </c>
    </row>
    <row r="119" spans="1:7">
      <c r="A119" s="333" t="s">
        <v>267</v>
      </c>
      <c r="B119" s="322" t="s">
        <v>2544</v>
      </c>
      <c r="C119" s="323">
        <v>0.051</v>
      </c>
      <c r="D119" s="323">
        <v>0.052</v>
      </c>
      <c r="E119" s="334"/>
      <c r="F119" s="339"/>
      <c r="G119" s="324">
        <v>0.06</v>
      </c>
    </row>
    <row r="120" spans="1:7">
      <c r="A120" s="333" t="s">
        <v>267</v>
      </c>
      <c r="B120" s="322" t="s">
        <v>2549</v>
      </c>
      <c r="C120" s="334"/>
      <c r="D120" s="334"/>
      <c r="E120" s="334"/>
      <c r="F120" s="323">
        <v>0.1</v>
      </c>
      <c r="G120" s="340"/>
    </row>
    <row r="121" spans="1:7">
      <c r="A121" s="333" t="s">
        <v>267</v>
      </c>
      <c r="B121" s="322" t="s">
        <v>2554</v>
      </c>
      <c r="C121" s="334"/>
      <c r="D121" s="334"/>
      <c r="E121" s="334"/>
      <c r="F121" s="323">
        <v>0.1</v>
      </c>
      <c r="G121" s="340"/>
    </row>
    <row r="122" spans="1:7">
      <c r="A122" s="333" t="s">
        <v>267</v>
      </c>
      <c r="B122" s="322" t="s">
        <v>2559</v>
      </c>
      <c r="C122" s="323">
        <v>0.1</v>
      </c>
      <c r="D122" s="323">
        <v>0.1</v>
      </c>
      <c r="E122" s="323">
        <v>0.098</v>
      </c>
      <c r="F122" s="323">
        <v>0.1</v>
      </c>
      <c r="G122" s="324">
        <v>0.1</v>
      </c>
    </row>
    <row r="123" spans="1:7">
      <c r="A123" s="333" t="s">
        <v>267</v>
      </c>
      <c r="B123" s="322" t="s">
        <v>2564</v>
      </c>
      <c r="C123" s="323">
        <v>0.1</v>
      </c>
      <c r="D123" s="323">
        <v>0.1</v>
      </c>
      <c r="E123" s="323">
        <v>0.098</v>
      </c>
      <c r="F123" s="323">
        <v>0.1</v>
      </c>
      <c r="G123" s="324">
        <v>0.1</v>
      </c>
    </row>
    <row r="124" spans="1:7">
      <c r="A124" s="333" t="s">
        <v>267</v>
      </c>
      <c r="B124" s="322" t="s">
        <v>2569</v>
      </c>
      <c r="C124" s="323">
        <v>0.1</v>
      </c>
      <c r="D124" s="323">
        <v>0.1</v>
      </c>
      <c r="E124" s="323">
        <v>0.098</v>
      </c>
      <c r="F124" s="339"/>
      <c r="G124" s="324">
        <v>0.1</v>
      </c>
    </row>
    <row r="125" spans="1:7">
      <c r="A125" s="333" t="s">
        <v>267</v>
      </c>
      <c r="B125" s="322" t="s">
        <v>2574</v>
      </c>
      <c r="C125" s="323">
        <v>0.098</v>
      </c>
      <c r="D125" s="323">
        <v>0.098</v>
      </c>
      <c r="E125" s="323">
        <v>0.096</v>
      </c>
      <c r="F125" s="339"/>
      <c r="G125" s="324">
        <v>0.1</v>
      </c>
    </row>
    <row r="126" ht="14.25" spans="1:7">
      <c r="A126" s="336" t="s">
        <v>267</v>
      </c>
      <c r="B126" s="326" t="s">
        <v>2579</v>
      </c>
      <c r="C126" s="327">
        <v>0.1</v>
      </c>
      <c r="D126" s="327">
        <v>0.1</v>
      </c>
      <c r="E126" s="327">
        <v>0.098</v>
      </c>
      <c r="F126" s="327">
        <v>0.1</v>
      </c>
      <c r="G126" s="329">
        <v>0.1</v>
      </c>
    </row>
    <row r="127" spans="1:7">
      <c r="A127" s="332" t="s">
        <v>273</v>
      </c>
      <c r="B127" s="318" t="s">
        <v>2246</v>
      </c>
      <c r="C127" s="319">
        <v>0.121</v>
      </c>
      <c r="D127" s="319">
        <v>0.121</v>
      </c>
      <c r="E127" s="319">
        <v>0.107</v>
      </c>
      <c r="F127" s="319">
        <v>0.13</v>
      </c>
      <c r="G127" s="320">
        <v>0.122</v>
      </c>
    </row>
    <row r="128" spans="1:7">
      <c r="A128" s="333" t="s">
        <v>273</v>
      </c>
      <c r="B128" s="322" t="s">
        <v>2259</v>
      </c>
      <c r="C128" s="323">
        <v>0.116</v>
      </c>
      <c r="D128" s="323">
        <v>0.117</v>
      </c>
      <c r="E128" s="323">
        <v>0.104</v>
      </c>
      <c r="F128" s="323">
        <v>0.13</v>
      </c>
      <c r="G128" s="324">
        <v>0.117</v>
      </c>
    </row>
    <row r="129" spans="1:7">
      <c r="A129" s="333" t="s">
        <v>273</v>
      </c>
      <c r="B129" s="322" t="s">
        <v>2273</v>
      </c>
      <c r="C129" s="323">
        <v>0.107</v>
      </c>
      <c r="D129" s="323">
        <v>0.108</v>
      </c>
      <c r="E129" s="323">
        <v>0.1</v>
      </c>
      <c r="F129" s="323">
        <v>0.13</v>
      </c>
      <c r="G129" s="324">
        <v>0.117</v>
      </c>
    </row>
    <row r="130" spans="1:7">
      <c r="A130" s="333" t="s">
        <v>273</v>
      </c>
      <c r="B130" s="322" t="s">
        <v>2285</v>
      </c>
      <c r="C130" s="323">
        <v>0.13</v>
      </c>
      <c r="D130" s="323">
        <v>0.13</v>
      </c>
      <c r="E130" s="323">
        <v>0.126</v>
      </c>
      <c r="F130" s="323">
        <v>0.13</v>
      </c>
      <c r="G130" s="324">
        <v>0.13</v>
      </c>
    </row>
    <row r="131" spans="1:7">
      <c r="A131" s="333" t="s">
        <v>273</v>
      </c>
      <c r="B131" s="322" t="s">
        <v>2297</v>
      </c>
      <c r="C131" s="323">
        <v>0.13</v>
      </c>
      <c r="D131" s="323">
        <v>0.13</v>
      </c>
      <c r="E131" s="323">
        <v>0.13</v>
      </c>
      <c r="F131" s="323">
        <v>0.13</v>
      </c>
      <c r="G131" s="324">
        <v>0.13</v>
      </c>
    </row>
    <row r="132" spans="1:7">
      <c r="A132" s="333" t="s">
        <v>273</v>
      </c>
      <c r="B132" s="322" t="s">
        <v>2308</v>
      </c>
      <c r="C132" s="323">
        <v>0.13</v>
      </c>
      <c r="D132" s="323">
        <v>0.13</v>
      </c>
      <c r="E132" s="323">
        <v>0.126</v>
      </c>
      <c r="F132" s="323">
        <v>0.13</v>
      </c>
      <c r="G132" s="324">
        <v>0.13</v>
      </c>
    </row>
    <row r="133" spans="1:7">
      <c r="A133" s="333" t="s">
        <v>273</v>
      </c>
      <c r="B133" s="322" t="s">
        <v>2319</v>
      </c>
      <c r="C133" s="323">
        <v>0.111</v>
      </c>
      <c r="D133" s="323">
        <v>0.111</v>
      </c>
      <c r="E133" s="323">
        <v>0.102</v>
      </c>
      <c r="F133" s="323">
        <v>0.13</v>
      </c>
      <c r="G133" s="324">
        <v>0.121</v>
      </c>
    </row>
    <row r="134" spans="1:7">
      <c r="A134" s="333" t="s">
        <v>273</v>
      </c>
      <c r="B134" s="322" t="s">
        <v>2330</v>
      </c>
      <c r="C134" s="323">
        <v>0.121</v>
      </c>
      <c r="D134" s="323">
        <v>0.121</v>
      </c>
      <c r="E134" s="323">
        <v>0.1</v>
      </c>
      <c r="F134" s="323">
        <v>0.13</v>
      </c>
      <c r="G134" s="324">
        <v>0.123</v>
      </c>
    </row>
    <row r="135" spans="1:7">
      <c r="A135" s="333" t="s">
        <v>273</v>
      </c>
      <c r="B135" s="322" t="s">
        <v>2340</v>
      </c>
      <c r="C135" s="323">
        <v>0.105</v>
      </c>
      <c r="D135" s="323">
        <v>0.106</v>
      </c>
      <c r="E135" s="323">
        <v>0.1</v>
      </c>
      <c r="F135" s="323">
        <v>0.13</v>
      </c>
      <c r="G135" s="324">
        <v>0.115</v>
      </c>
    </row>
    <row r="136" spans="1:7">
      <c r="A136" s="333" t="s">
        <v>273</v>
      </c>
      <c r="B136" s="322" t="s">
        <v>2350</v>
      </c>
      <c r="C136" s="323">
        <v>0.127</v>
      </c>
      <c r="D136" s="323">
        <v>0.127</v>
      </c>
      <c r="E136" s="323">
        <v>0.121</v>
      </c>
      <c r="F136" s="323">
        <v>0.123</v>
      </c>
      <c r="G136" s="324">
        <v>0.129</v>
      </c>
    </row>
    <row r="137" spans="1:7">
      <c r="A137" s="333" t="s">
        <v>273</v>
      </c>
      <c r="B137" s="322" t="s">
        <v>2360</v>
      </c>
      <c r="C137" s="323">
        <v>0.13</v>
      </c>
      <c r="D137" s="323">
        <v>0.13</v>
      </c>
      <c r="E137" s="323">
        <v>0.129</v>
      </c>
      <c r="F137" s="323">
        <v>0.13</v>
      </c>
      <c r="G137" s="324">
        <v>0.13</v>
      </c>
    </row>
    <row r="138" spans="1:7">
      <c r="A138" s="333" t="s">
        <v>273</v>
      </c>
      <c r="B138" s="322" t="s">
        <v>2370</v>
      </c>
      <c r="C138" s="323">
        <v>0.13</v>
      </c>
      <c r="D138" s="323">
        <v>0.13</v>
      </c>
      <c r="E138" s="323">
        <v>0.125</v>
      </c>
      <c r="F138" s="323">
        <v>0.13</v>
      </c>
      <c r="G138" s="324">
        <v>0.13</v>
      </c>
    </row>
    <row r="139" spans="1:7">
      <c r="A139" s="333" t="s">
        <v>273</v>
      </c>
      <c r="B139" s="322" t="s">
        <v>2380</v>
      </c>
      <c r="C139" s="323">
        <v>0.13</v>
      </c>
      <c r="D139" s="323">
        <v>0.13</v>
      </c>
      <c r="E139" s="323">
        <v>0.126</v>
      </c>
      <c r="F139" s="323">
        <v>0.13</v>
      </c>
      <c r="G139" s="324">
        <v>0.13</v>
      </c>
    </row>
    <row r="140" spans="1:7">
      <c r="A140" s="333" t="s">
        <v>273</v>
      </c>
      <c r="B140" s="322" t="s">
        <v>2390</v>
      </c>
      <c r="C140" s="323">
        <v>0.1</v>
      </c>
      <c r="D140" s="323">
        <v>0.1</v>
      </c>
      <c r="E140" s="323">
        <v>0.1</v>
      </c>
      <c r="F140" s="323">
        <v>0.123</v>
      </c>
      <c r="G140" s="324">
        <v>0.107</v>
      </c>
    </row>
    <row r="141" spans="1:7">
      <c r="A141" s="333" t="s">
        <v>273</v>
      </c>
      <c r="B141" s="322" t="s">
        <v>2400</v>
      </c>
      <c r="C141" s="323">
        <v>0.127</v>
      </c>
      <c r="D141" s="323">
        <v>0.127</v>
      </c>
      <c r="E141" s="323">
        <v>0.122</v>
      </c>
      <c r="F141" s="323">
        <v>0.1</v>
      </c>
      <c r="G141" s="324">
        <v>0.129</v>
      </c>
    </row>
    <row r="142" spans="1:7">
      <c r="A142" s="333" t="s">
        <v>273</v>
      </c>
      <c r="B142" s="322" t="s">
        <v>2410</v>
      </c>
      <c r="C142" s="323">
        <v>0.121</v>
      </c>
      <c r="D142" s="323">
        <v>0.122</v>
      </c>
      <c r="E142" s="323">
        <v>0.1</v>
      </c>
      <c r="F142" s="323">
        <v>0.123</v>
      </c>
      <c r="G142" s="324">
        <v>0.123</v>
      </c>
    </row>
    <row r="143" spans="1:7">
      <c r="A143" s="333" t="s">
        <v>273</v>
      </c>
      <c r="B143" s="322" t="s">
        <v>2420</v>
      </c>
      <c r="C143" s="323">
        <v>0.1</v>
      </c>
      <c r="D143" s="323">
        <v>0.1</v>
      </c>
      <c r="E143" s="323">
        <v>0.1</v>
      </c>
      <c r="F143" s="323">
        <v>0.13</v>
      </c>
      <c r="G143" s="324">
        <v>0.1</v>
      </c>
    </row>
    <row r="144" spans="1:7">
      <c r="A144" s="333" t="s">
        <v>273</v>
      </c>
      <c r="B144" s="322" t="s">
        <v>2430</v>
      </c>
      <c r="C144" s="323">
        <v>0.106</v>
      </c>
      <c r="D144" s="323">
        <v>0.105</v>
      </c>
      <c r="E144" s="323">
        <v>0.1</v>
      </c>
      <c r="F144" s="323">
        <v>0.13</v>
      </c>
      <c r="G144" s="324">
        <v>0.118</v>
      </c>
    </row>
    <row r="145" spans="1:7">
      <c r="A145" s="333" t="s">
        <v>273</v>
      </c>
      <c r="B145" s="322" t="s">
        <v>2440</v>
      </c>
      <c r="C145" s="323">
        <v>0.123</v>
      </c>
      <c r="D145" s="323">
        <v>0.123</v>
      </c>
      <c r="E145" s="323">
        <v>0.117</v>
      </c>
      <c r="F145" s="323">
        <v>0.13</v>
      </c>
      <c r="G145" s="324">
        <v>0.126</v>
      </c>
    </row>
    <row r="146" spans="1:7">
      <c r="A146" s="333" t="s">
        <v>273</v>
      </c>
      <c r="B146" s="322" t="s">
        <v>2450</v>
      </c>
      <c r="C146" s="323">
        <v>0.127</v>
      </c>
      <c r="D146" s="323">
        <v>0.127</v>
      </c>
      <c r="E146" s="323">
        <v>0.12</v>
      </c>
      <c r="F146" s="334"/>
      <c r="G146" s="324">
        <v>0.129</v>
      </c>
    </row>
    <row r="147" spans="1:7">
      <c r="A147" s="333" t="s">
        <v>273</v>
      </c>
      <c r="B147" s="322" t="s">
        <v>2459</v>
      </c>
      <c r="C147" s="323">
        <v>0.13</v>
      </c>
      <c r="D147" s="323">
        <v>0.13</v>
      </c>
      <c r="E147" s="323">
        <v>0.126</v>
      </c>
      <c r="F147" s="334"/>
      <c r="G147" s="324">
        <v>0.13</v>
      </c>
    </row>
    <row r="148" spans="1:7">
      <c r="A148" s="333" t="s">
        <v>273</v>
      </c>
      <c r="B148" s="322" t="s">
        <v>2467</v>
      </c>
      <c r="C148" s="323">
        <v>0.13</v>
      </c>
      <c r="D148" s="323">
        <v>0.13</v>
      </c>
      <c r="E148" s="323">
        <v>0.13</v>
      </c>
      <c r="F148" s="334"/>
      <c r="G148" s="324">
        <v>0.13</v>
      </c>
    </row>
    <row r="149" spans="1:7">
      <c r="A149" s="333" t="s">
        <v>273</v>
      </c>
      <c r="B149" s="322" t="s">
        <v>2475</v>
      </c>
      <c r="C149" s="323">
        <v>0.13</v>
      </c>
      <c r="D149" s="323">
        <v>0.13</v>
      </c>
      <c r="E149" s="323">
        <v>0.13</v>
      </c>
      <c r="F149" s="323">
        <v>0.13</v>
      </c>
      <c r="G149" s="324">
        <v>0.13</v>
      </c>
    </row>
    <row r="150" spans="1:7">
      <c r="A150" s="333" t="s">
        <v>273</v>
      </c>
      <c r="B150" s="322" t="s">
        <v>2483</v>
      </c>
      <c r="C150" s="323">
        <v>0.13</v>
      </c>
      <c r="D150" s="323">
        <v>0.13</v>
      </c>
      <c r="E150" s="323">
        <v>0.127</v>
      </c>
      <c r="F150" s="323">
        <v>0.13</v>
      </c>
      <c r="G150" s="324">
        <v>0.13</v>
      </c>
    </row>
    <row r="151" spans="1:7">
      <c r="A151" s="333" t="s">
        <v>273</v>
      </c>
      <c r="B151" s="322" t="s">
        <v>2491</v>
      </c>
      <c r="C151" s="323">
        <v>0.13</v>
      </c>
      <c r="D151" s="323">
        <v>0.13</v>
      </c>
      <c r="E151" s="323">
        <v>0.13</v>
      </c>
      <c r="F151" s="323">
        <v>0.13</v>
      </c>
      <c r="G151" s="324">
        <v>0.13</v>
      </c>
    </row>
    <row r="152" spans="1:7">
      <c r="A152" s="333" t="s">
        <v>273</v>
      </c>
      <c r="B152" s="322" t="s">
        <v>2498</v>
      </c>
      <c r="C152" s="323">
        <v>0.13</v>
      </c>
      <c r="D152" s="323">
        <v>0.13</v>
      </c>
      <c r="E152" s="323">
        <v>0.13</v>
      </c>
      <c r="F152" s="323">
        <v>0.13</v>
      </c>
      <c r="G152" s="324">
        <v>0.13</v>
      </c>
    </row>
    <row r="153" spans="1:7">
      <c r="A153" s="333" t="s">
        <v>273</v>
      </c>
      <c r="B153" s="322" t="s">
        <v>2505</v>
      </c>
      <c r="C153" s="323">
        <v>0.13</v>
      </c>
      <c r="D153" s="323">
        <v>0.13</v>
      </c>
      <c r="E153" s="323">
        <v>0.13</v>
      </c>
      <c r="F153" s="323">
        <v>0.13</v>
      </c>
      <c r="G153" s="324">
        <v>0.13</v>
      </c>
    </row>
    <row r="154" spans="1:7">
      <c r="A154" s="333" t="s">
        <v>273</v>
      </c>
      <c r="B154" s="322" t="s">
        <v>2512</v>
      </c>
      <c r="C154" s="323">
        <v>0.121</v>
      </c>
      <c r="D154" s="323">
        <v>0.121</v>
      </c>
      <c r="E154" s="323">
        <v>0.105</v>
      </c>
      <c r="F154" s="323">
        <v>0.121</v>
      </c>
      <c r="G154" s="324">
        <v>0.123</v>
      </c>
    </row>
    <row r="155" spans="1:7">
      <c r="A155" s="333" t="s">
        <v>273</v>
      </c>
      <c r="B155" s="322" t="s">
        <v>2519</v>
      </c>
      <c r="C155" s="323">
        <v>0.1</v>
      </c>
      <c r="D155" s="323">
        <v>0.1</v>
      </c>
      <c r="E155" s="323">
        <v>0.1</v>
      </c>
      <c r="F155" s="323">
        <v>0.1</v>
      </c>
      <c r="G155" s="324">
        <v>0.1</v>
      </c>
    </row>
    <row r="156" spans="1:7">
      <c r="A156" s="333" t="s">
        <v>273</v>
      </c>
      <c r="B156" s="322" t="s">
        <v>2526</v>
      </c>
      <c r="C156" s="323">
        <v>0.13</v>
      </c>
      <c r="D156" s="323">
        <v>0.13</v>
      </c>
      <c r="E156" s="323">
        <v>0.13</v>
      </c>
      <c r="F156" s="323">
        <v>0.13</v>
      </c>
      <c r="G156" s="324">
        <v>0.13</v>
      </c>
    </row>
    <row r="157" spans="1:7">
      <c r="A157" s="333" t="s">
        <v>273</v>
      </c>
      <c r="B157" s="322" t="s">
        <v>2533</v>
      </c>
      <c r="C157" s="323">
        <v>0.13</v>
      </c>
      <c r="D157" s="323">
        <v>0.13</v>
      </c>
      <c r="E157" s="323">
        <v>0.125</v>
      </c>
      <c r="F157" s="323">
        <v>0.13</v>
      </c>
      <c r="G157" s="324">
        <v>0.13</v>
      </c>
    </row>
    <row r="158" spans="1:7">
      <c r="A158" s="333" t="s">
        <v>273</v>
      </c>
      <c r="B158" s="322" t="s">
        <v>2540</v>
      </c>
      <c r="C158" s="323">
        <v>0.124</v>
      </c>
      <c r="D158" s="323">
        <v>0.124</v>
      </c>
      <c r="E158" s="323">
        <v>0.117</v>
      </c>
      <c r="F158" s="323">
        <v>0.121</v>
      </c>
      <c r="G158" s="324">
        <v>0.124</v>
      </c>
    </row>
    <row r="159" spans="1:7">
      <c r="A159" s="333" t="s">
        <v>273</v>
      </c>
      <c r="B159" s="322" t="s">
        <v>2545</v>
      </c>
      <c r="C159" s="323">
        <v>0.127</v>
      </c>
      <c r="D159" s="323">
        <v>0.127</v>
      </c>
      <c r="E159" s="323">
        <v>0.122</v>
      </c>
      <c r="F159" s="323">
        <v>0.13</v>
      </c>
      <c r="G159" s="324">
        <v>0.129</v>
      </c>
    </row>
    <row r="160" spans="1:7">
      <c r="A160" s="333" t="s">
        <v>273</v>
      </c>
      <c r="B160" s="322" t="s">
        <v>2550</v>
      </c>
      <c r="C160" s="323">
        <v>0.13</v>
      </c>
      <c r="D160" s="323">
        <v>0.13</v>
      </c>
      <c r="E160" s="323">
        <v>0.124</v>
      </c>
      <c r="F160" s="323">
        <v>0.126</v>
      </c>
      <c r="G160" s="324">
        <v>0.13</v>
      </c>
    </row>
    <row r="161" spans="1:7">
      <c r="A161" s="333" t="s">
        <v>273</v>
      </c>
      <c r="B161" s="322" t="s">
        <v>2555</v>
      </c>
      <c r="C161" s="323">
        <v>0.13</v>
      </c>
      <c r="D161" s="323">
        <v>0.13</v>
      </c>
      <c r="E161" s="323">
        <v>0.124</v>
      </c>
      <c r="F161" s="323">
        <v>0.127</v>
      </c>
      <c r="G161" s="324">
        <v>0.13</v>
      </c>
    </row>
    <row r="162" spans="1:7">
      <c r="A162" s="333" t="s">
        <v>273</v>
      </c>
      <c r="B162" s="322" t="s">
        <v>2560</v>
      </c>
      <c r="C162" s="323">
        <v>0.1</v>
      </c>
      <c r="D162" s="323">
        <v>0.1</v>
      </c>
      <c r="E162" s="323">
        <v>0.1</v>
      </c>
      <c r="F162" s="323">
        <v>0.121</v>
      </c>
      <c r="G162" s="324">
        <v>0.105</v>
      </c>
    </row>
    <row r="163" spans="1:7">
      <c r="A163" s="333" t="s">
        <v>273</v>
      </c>
      <c r="B163" s="322" t="s">
        <v>2565</v>
      </c>
      <c r="C163" s="323">
        <v>0.1</v>
      </c>
      <c r="D163" s="323">
        <v>0.1</v>
      </c>
      <c r="E163" s="323">
        <v>0.1</v>
      </c>
      <c r="F163" s="323">
        <v>0.1</v>
      </c>
      <c r="G163" s="324">
        <v>0.1</v>
      </c>
    </row>
    <row r="164" spans="1:7">
      <c r="A164" s="333" t="s">
        <v>273</v>
      </c>
      <c r="B164" s="322" t="s">
        <v>2570</v>
      </c>
      <c r="C164" s="339"/>
      <c r="D164" s="339"/>
      <c r="E164" s="339"/>
      <c r="F164" s="323">
        <v>0.1</v>
      </c>
      <c r="G164" s="335"/>
    </row>
    <row r="165" spans="1:7">
      <c r="A165" s="333" t="s">
        <v>273</v>
      </c>
      <c r="B165" s="322" t="s">
        <v>2575</v>
      </c>
      <c r="C165" s="323">
        <v>0.126</v>
      </c>
      <c r="D165" s="323">
        <v>0.126</v>
      </c>
      <c r="E165" s="323">
        <v>0.119</v>
      </c>
      <c r="F165" s="323">
        <v>0.13</v>
      </c>
      <c r="G165" s="324">
        <v>0.128</v>
      </c>
    </row>
    <row r="166" spans="1:7">
      <c r="A166" s="333" t="s">
        <v>273</v>
      </c>
      <c r="B166" s="322" t="s">
        <v>2580</v>
      </c>
      <c r="C166" s="323">
        <v>0.129</v>
      </c>
      <c r="D166" s="323">
        <v>0.129</v>
      </c>
      <c r="E166" s="323">
        <v>0.123</v>
      </c>
      <c r="F166" s="323">
        <v>0.128</v>
      </c>
      <c r="G166" s="324">
        <v>0.13</v>
      </c>
    </row>
    <row r="167" spans="1:7">
      <c r="A167" s="333" t="s">
        <v>273</v>
      </c>
      <c r="B167" s="322" t="s">
        <v>2584</v>
      </c>
      <c r="C167" s="323">
        <v>0.125</v>
      </c>
      <c r="D167" s="323">
        <v>0.125</v>
      </c>
      <c r="E167" s="323">
        <v>0.117</v>
      </c>
      <c r="F167" s="323">
        <v>0.13</v>
      </c>
      <c r="G167" s="324">
        <v>0.126</v>
      </c>
    </row>
    <row r="168" spans="1:7">
      <c r="A168" s="333" t="s">
        <v>273</v>
      </c>
      <c r="B168" s="322" t="s">
        <v>2588</v>
      </c>
      <c r="C168" s="323">
        <v>0.128</v>
      </c>
      <c r="D168" s="323">
        <v>0.128</v>
      </c>
      <c r="E168" s="323">
        <v>0.123</v>
      </c>
      <c r="F168" s="334"/>
      <c r="G168" s="324">
        <v>0.13</v>
      </c>
    </row>
    <row r="169" spans="1:7">
      <c r="A169" s="333" t="s">
        <v>273</v>
      </c>
      <c r="B169" s="322" t="s">
        <v>2592</v>
      </c>
      <c r="C169" s="339"/>
      <c r="D169" s="339"/>
      <c r="E169" s="339"/>
      <c r="F169" s="323">
        <v>0.05</v>
      </c>
      <c r="G169" s="335"/>
    </row>
    <row r="170" spans="1:7">
      <c r="A170" s="333" t="s">
        <v>273</v>
      </c>
      <c r="B170" s="322" t="s">
        <v>2596</v>
      </c>
      <c r="C170" s="339"/>
      <c r="D170" s="339"/>
      <c r="E170" s="339"/>
      <c r="F170" s="323">
        <v>0.05</v>
      </c>
      <c r="G170" s="335"/>
    </row>
    <row r="171" spans="1:7">
      <c r="A171" s="333" t="s">
        <v>273</v>
      </c>
      <c r="B171" s="322" t="s">
        <v>2599</v>
      </c>
      <c r="C171" s="339"/>
      <c r="D171" s="339"/>
      <c r="E171" s="339"/>
      <c r="F171" s="323">
        <v>0.05</v>
      </c>
      <c r="G171" s="340"/>
    </row>
    <row r="172" spans="1:7">
      <c r="A172" s="333" t="s">
        <v>273</v>
      </c>
      <c r="B172" s="322" t="s">
        <v>2601</v>
      </c>
      <c r="C172" s="339"/>
      <c r="D172" s="339"/>
      <c r="E172" s="339"/>
      <c r="F172" s="323">
        <v>0.05</v>
      </c>
      <c r="G172" s="340"/>
    </row>
    <row r="173" spans="1:7">
      <c r="A173" s="333" t="s">
        <v>273</v>
      </c>
      <c r="B173" s="322" t="s">
        <v>2603</v>
      </c>
      <c r="C173" s="339"/>
      <c r="D173" s="339"/>
      <c r="E173" s="339"/>
      <c r="F173" s="323">
        <v>0.05</v>
      </c>
      <c r="G173" s="335"/>
    </row>
    <row r="174" spans="1:7">
      <c r="A174" s="333" t="s">
        <v>273</v>
      </c>
      <c r="B174" s="322" t="s">
        <v>2605</v>
      </c>
      <c r="C174" s="339"/>
      <c r="D174" s="339"/>
      <c r="E174" s="339"/>
      <c r="F174" s="323">
        <v>0.05</v>
      </c>
      <c r="G174" s="335"/>
    </row>
    <row r="175" spans="1:7">
      <c r="A175" s="333" t="s">
        <v>273</v>
      </c>
      <c r="B175" s="322" t="s">
        <v>2607</v>
      </c>
      <c r="C175" s="339"/>
      <c r="D175" s="339"/>
      <c r="E175" s="339"/>
      <c r="F175" s="323">
        <v>0.05</v>
      </c>
      <c r="G175" s="335"/>
    </row>
    <row r="176" spans="1:7">
      <c r="A176" s="333" t="s">
        <v>273</v>
      </c>
      <c r="B176" s="322" t="s">
        <v>2609</v>
      </c>
      <c r="C176" s="339"/>
      <c r="D176" s="339"/>
      <c r="E176" s="339"/>
      <c r="F176" s="323">
        <v>0.05</v>
      </c>
      <c r="G176" s="335"/>
    </row>
    <row r="177" spans="1:7">
      <c r="A177" s="333" t="s">
        <v>273</v>
      </c>
      <c r="B177" s="322" t="s">
        <v>2611</v>
      </c>
      <c r="C177" s="334"/>
      <c r="D177" s="334"/>
      <c r="E177" s="334"/>
      <c r="F177" s="323">
        <v>0.05</v>
      </c>
      <c r="G177" s="340"/>
    </row>
    <row r="178" spans="1:7">
      <c r="A178" s="333" t="s">
        <v>273</v>
      </c>
      <c r="B178" s="322" t="s">
        <v>2612</v>
      </c>
      <c r="C178" s="334"/>
      <c r="D178" s="334"/>
      <c r="E178" s="334"/>
      <c r="F178" s="323">
        <v>0.05</v>
      </c>
      <c r="G178" s="340"/>
    </row>
    <row r="179" spans="1:7">
      <c r="A179" s="333" t="s">
        <v>273</v>
      </c>
      <c r="B179" s="322" t="s">
        <v>2613</v>
      </c>
      <c r="C179" s="334"/>
      <c r="D179" s="334"/>
      <c r="E179" s="334"/>
      <c r="F179" s="323">
        <v>0.05</v>
      </c>
      <c r="G179" s="340"/>
    </row>
    <row r="180" spans="1:7">
      <c r="A180" s="333" t="s">
        <v>273</v>
      </c>
      <c r="B180" s="322" t="s">
        <v>2614</v>
      </c>
      <c r="C180" s="334"/>
      <c r="D180" s="334"/>
      <c r="E180" s="334"/>
      <c r="F180" s="323">
        <v>0.05</v>
      </c>
      <c r="G180" s="340"/>
    </row>
    <row r="181" spans="1:7">
      <c r="A181" s="333" t="s">
        <v>273</v>
      </c>
      <c r="B181" s="322" t="s">
        <v>2615</v>
      </c>
      <c r="C181" s="334"/>
      <c r="D181" s="334"/>
      <c r="E181" s="334"/>
      <c r="F181" s="323">
        <v>0.05</v>
      </c>
      <c r="G181" s="340"/>
    </row>
    <row r="182" spans="1:7">
      <c r="A182" s="333" t="s">
        <v>273</v>
      </c>
      <c r="B182" s="322" t="s">
        <v>2616</v>
      </c>
      <c r="C182" s="334"/>
      <c r="D182" s="334"/>
      <c r="E182" s="334"/>
      <c r="F182" s="323">
        <v>0.05</v>
      </c>
      <c r="G182" s="340"/>
    </row>
    <row r="183" spans="1:7">
      <c r="A183" s="333" t="s">
        <v>273</v>
      </c>
      <c r="B183" s="322" t="s">
        <v>2617</v>
      </c>
      <c r="C183" s="334"/>
      <c r="D183" s="334"/>
      <c r="E183" s="334"/>
      <c r="F183" s="323">
        <v>0.05</v>
      </c>
      <c r="G183" s="340"/>
    </row>
    <row r="184" spans="1:7">
      <c r="A184" s="333" t="s">
        <v>273</v>
      </c>
      <c r="B184" s="322" t="s">
        <v>2618</v>
      </c>
      <c r="C184" s="334"/>
      <c r="D184" s="334"/>
      <c r="E184" s="334"/>
      <c r="F184" s="323">
        <v>0.05</v>
      </c>
      <c r="G184" s="340"/>
    </row>
    <row r="185" spans="1:7">
      <c r="A185" s="333" t="s">
        <v>273</v>
      </c>
      <c r="B185" s="322" t="s">
        <v>2619</v>
      </c>
      <c r="C185" s="334"/>
      <c r="D185" s="334"/>
      <c r="E185" s="334"/>
      <c r="F185" s="323">
        <v>0.05</v>
      </c>
      <c r="G185" s="340"/>
    </row>
    <row r="186" spans="1:7">
      <c r="A186" s="333" t="s">
        <v>273</v>
      </c>
      <c r="B186" s="322" t="s">
        <v>2620</v>
      </c>
      <c r="C186" s="334"/>
      <c r="D186" s="334"/>
      <c r="E186" s="334"/>
      <c r="F186" s="323">
        <v>0.05</v>
      </c>
      <c r="G186" s="340"/>
    </row>
    <row r="187" spans="1:7">
      <c r="A187" s="333" t="s">
        <v>273</v>
      </c>
      <c r="B187" s="322" t="s">
        <v>2621</v>
      </c>
      <c r="C187" s="334"/>
      <c r="D187" s="334"/>
      <c r="E187" s="334"/>
      <c r="F187" s="323">
        <v>0.05</v>
      </c>
      <c r="G187" s="340"/>
    </row>
    <row r="188" spans="1:7">
      <c r="A188" s="333" t="s">
        <v>273</v>
      </c>
      <c r="B188" s="322" t="s">
        <v>2622</v>
      </c>
      <c r="C188" s="334"/>
      <c r="D188" s="334"/>
      <c r="E188" s="334"/>
      <c r="F188" s="323">
        <v>0.05</v>
      </c>
      <c r="G188" s="340"/>
    </row>
    <row r="189" ht="14.25" spans="1:7">
      <c r="A189" s="336" t="s">
        <v>273</v>
      </c>
      <c r="B189" s="326" t="s">
        <v>2623</v>
      </c>
      <c r="C189" s="328"/>
      <c r="D189" s="328"/>
      <c r="E189" s="328"/>
      <c r="F189" s="327">
        <v>0.05</v>
      </c>
      <c r="G189" s="341"/>
    </row>
    <row r="190" spans="1:7">
      <c r="A190" s="332" t="s">
        <v>278</v>
      </c>
      <c r="B190" s="318" t="s">
        <v>2247</v>
      </c>
      <c r="C190" s="319">
        <v>0.124</v>
      </c>
      <c r="D190" s="319">
        <v>0.124</v>
      </c>
      <c r="E190" s="319">
        <v>0.129</v>
      </c>
      <c r="F190" s="319">
        <v>0.13</v>
      </c>
      <c r="G190" s="320">
        <v>0.127</v>
      </c>
    </row>
    <row r="191" spans="1:7">
      <c r="A191" s="333" t="s">
        <v>278</v>
      </c>
      <c r="B191" s="322" t="s">
        <v>2260</v>
      </c>
      <c r="C191" s="323">
        <v>0.13</v>
      </c>
      <c r="D191" s="323">
        <v>0.13</v>
      </c>
      <c r="E191" s="323">
        <v>0.13</v>
      </c>
      <c r="F191" s="323">
        <v>0.13</v>
      </c>
      <c r="G191" s="324">
        <v>0.13</v>
      </c>
    </row>
    <row r="192" spans="1:7">
      <c r="A192" s="333" t="s">
        <v>278</v>
      </c>
      <c r="B192" s="322" t="s">
        <v>2274</v>
      </c>
      <c r="C192" s="323">
        <v>0.13</v>
      </c>
      <c r="D192" s="323">
        <v>0.13</v>
      </c>
      <c r="E192" s="323">
        <v>0.13</v>
      </c>
      <c r="F192" s="323">
        <v>0.13</v>
      </c>
      <c r="G192" s="324">
        <v>0.13</v>
      </c>
    </row>
    <row r="193" spans="1:7">
      <c r="A193" s="333" t="s">
        <v>278</v>
      </c>
      <c r="B193" s="322" t="s">
        <v>2286</v>
      </c>
      <c r="C193" s="323">
        <v>0.13</v>
      </c>
      <c r="D193" s="323">
        <v>0.13</v>
      </c>
      <c r="E193" s="323">
        <v>0.13</v>
      </c>
      <c r="F193" s="323">
        <v>0.13</v>
      </c>
      <c r="G193" s="324">
        <v>0.13</v>
      </c>
    </row>
    <row r="194" spans="1:7">
      <c r="A194" s="333" t="s">
        <v>278</v>
      </c>
      <c r="B194" s="322" t="s">
        <v>2298</v>
      </c>
      <c r="C194" s="323">
        <v>0.123</v>
      </c>
      <c r="D194" s="323">
        <v>0.123</v>
      </c>
      <c r="E194" s="323">
        <v>0.128</v>
      </c>
      <c r="F194" s="323">
        <v>0.13</v>
      </c>
      <c r="G194" s="324">
        <v>0.126</v>
      </c>
    </row>
    <row r="195" spans="1:7">
      <c r="A195" s="333" t="s">
        <v>278</v>
      </c>
      <c r="B195" s="322" t="s">
        <v>2309</v>
      </c>
      <c r="C195" s="323">
        <v>0.127</v>
      </c>
      <c r="D195" s="323">
        <v>0.127</v>
      </c>
      <c r="E195" s="323">
        <v>0.121</v>
      </c>
      <c r="F195" s="323">
        <v>0.129</v>
      </c>
      <c r="G195" s="324">
        <v>0.129</v>
      </c>
    </row>
    <row r="196" spans="1:7">
      <c r="A196" s="333" t="s">
        <v>278</v>
      </c>
      <c r="B196" s="322" t="s">
        <v>2320</v>
      </c>
      <c r="C196" s="323">
        <v>0.127</v>
      </c>
      <c r="D196" s="323">
        <v>0.128</v>
      </c>
      <c r="E196" s="323">
        <v>0.122</v>
      </c>
      <c r="F196" s="323">
        <v>0.13</v>
      </c>
      <c r="G196" s="324">
        <v>0.129</v>
      </c>
    </row>
    <row r="197" spans="1:7">
      <c r="A197" s="333" t="s">
        <v>278</v>
      </c>
      <c r="B197" s="322" t="s">
        <v>2331</v>
      </c>
      <c r="C197" s="323">
        <v>0.126</v>
      </c>
      <c r="D197" s="323">
        <v>0.126</v>
      </c>
      <c r="E197" s="323">
        <v>0.119</v>
      </c>
      <c r="F197" s="323">
        <v>0.13</v>
      </c>
      <c r="G197" s="324">
        <v>0.128</v>
      </c>
    </row>
    <row r="198" spans="1:7">
      <c r="A198" s="333" t="s">
        <v>278</v>
      </c>
      <c r="B198" s="322" t="s">
        <v>2341</v>
      </c>
      <c r="C198" s="323">
        <v>0.13</v>
      </c>
      <c r="D198" s="323">
        <v>0.13</v>
      </c>
      <c r="E198" s="323">
        <v>0.126</v>
      </c>
      <c r="F198" s="339"/>
      <c r="G198" s="324">
        <v>0.13</v>
      </c>
    </row>
    <row r="199" spans="1:7">
      <c r="A199" s="333" t="s">
        <v>278</v>
      </c>
      <c r="B199" s="322" t="s">
        <v>2351</v>
      </c>
      <c r="C199" s="323">
        <v>0.13</v>
      </c>
      <c r="D199" s="323">
        <v>0.13</v>
      </c>
      <c r="E199" s="323">
        <v>0.13</v>
      </c>
      <c r="F199" s="323">
        <v>0.13</v>
      </c>
      <c r="G199" s="324">
        <v>0.13</v>
      </c>
    </row>
    <row r="200" spans="1:7">
      <c r="A200" s="333" t="s">
        <v>278</v>
      </c>
      <c r="B200" s="322" t="s">
        <v>2361</v>
      </c>
      <c r="C200" s="339"/>
      <c r="D200" s="339"/>
      <c r="E200" s="339"/>
      <c r="F200" s="323">
        <v>0.13</v>
      </c>
      <c r="G200" s="335"/>
    </row>
    <row r="201" spans="1:7">
      <c r="A201" s="333" t="s">
        <v>278</v>
      </c>
      <c r="B201" s="322" t="s">
        <v>2371</v>
      </c>
      <c r="C201" s="323">
        <v>0.13</v>
      </c>
      <c r="D201" s="323">
        <v>0.13</v>
      </c>
      <c r="E201" s="323">
        <v>0.13</v>
      </c>
      <c r="F201" s="323">
        <v>0.129</v>
      </c>
      <c r="G201" s="324">
        <v>0.13</v>
      </c>
    </row>
    <row r="202" spans="1:7">
      <c r="A202" s="333" t="s">
        <v>278</v>
      </c>
      <c r="B202" s="322" t="s">
        <v>2381</v>
      </c>
      <c r="C202" s="323">
        <v>0.13</v>
      </c>
      <c r="D202" s="323">
        <v>0.13</v>
      </c>
      <c r="E202" s="323">
        <v>0.13</v>
      </c>
      <c r="F202" s="323">
        <v>0.13</v>
      </c>
      <c r="G202" s="324">
        <v>0.13</v>
      </c>
    </row>
    <row r="203" spans="1:7">
      <c r="A203" s="333" t="s">
        <v>278</v>
      </c>
      <c r="B203" s="322" t="s">
        <v>2391</v>
      </c>
      <c r="C203" s="323">
        <v>0.129</v>
      </c>
      <c r="D203" s="323">
        <v>0.129</v>
      </c>
      <c r="E203" s="323">
        <v>0.13</v>
      </c>
      <c r="F203" s="323">
        <v>0.13</v>
      </c>
      <c r="G203" s="324">
        <v>0.13</v>
      </c>
    </row>
    <row r="204" spans="1:7">
      <c r="A204" s="333" t="s">
        <v>278</v>
      </c>
      <c r="B204" s="322" t="s">
        <v>2401</v>
      </c>
      <c r="C204" s="323">
        <v>0.129</v>
      </c>
      <c r="D204" s="323">
        <v>0.129</v>
      </c>
      <c r="E204" s="323">
        <v>0.123</v>
      </c>
      <c r="F204" s="323">
        <v>0.13</v>
      </c>
      <c r="G204" s="324">
        <v>0.13</v>
      </c>
    </row>
    <row r="205" spans="1:7">
      <c r="A205" s="333" t="s">
        <v>278</v>
      </c>
      <c r="B205" s="322" t="s">
        <v>2411</v>
      </c>
      <c r="C205" s="323">
        <v>0.13</v>
      </c>
      <c r="D205" s="323">
        <v>0.13</v>
      </c>
      <c r="E205" s="323">
        <v>0.13</v>
      </c>
      <c r="F205" s="323">
        <v>0.13</v>
      </c>
      <c r="G205" s="324">
        <v>0.13</v>
      </c>
    </row>
    <row r="206" spans="1:7">
      <c r="A206" s="333" t="s">
        <v>278</v>
      </c>
      <c r="B206" s="322" t="s">
        <v>2421</v>
      </c>
      <c r="C206" s="323">
        <v>0.13</v>
      </c>
      <c r="D206" s="323">
        <v>0.13</v>
      </c>
      <c r="E206" s="323">
        <v>0.13</v>
      </c>
      <c r="F206" s="323">
        <v>0.128</v>
      </c>
      <c r="G206" s="324">
        <v>0.13</v>
      </c>
    </row>
    <row r="207" spans="1:7">
      <c r="A207" s="333" t="s">
        <v>278</v>
      </c>
      <c r="B207" s="322" t="s">
        <v>2431</v>
      </c>
      <c r="C207" s="323">
        <v>0.13</v>
      </c>
      <c r="D207" s="323">
        <v>0.13</v>
      </c>
      <c r="E207" s="323">
        <v>0.13</v>
      </c>
      <c r="F207" s="323">
        <v>0.13</v>
      </c>
      <c r="G207" s="324">
        <v>0.13</v>
      </c>
    </row>
    <row r="208" spans="1:7">
      <c r="A208" s="333" t="s">
        <v>278</v>
      </c>
      <c r="B208" s="322" t="s">
        <v>2441</v>
      </c>
      <c r="C208" s="323">
        <v>0.13</v>
      </c>
      <c r="D208" s="323">
        <v>0.13</v>
      </c>
      <c r="E208" s="323">
        <v>0.13</v>
      </c>
      <c r="F208" s="323">
        <v>0.13</v>
      </c>
      <c r="G208" s="324">
        <v>0.13</v>
      </c>
    </row>
    <row r="209" spans="1:7">
      <c r="A209" s="333" t="s">
        <v>278</v>
      </c>
      <c r="B209" s="322" t="s">
        <v>2451</v>
      </c>
      <c r="C209" s="323">
        <v>0.13</v>
      </c>
      <c r="D209" s="323">
        <v>0.13</v>
      </c>
      <c r="E209" s="323">
        <v>0.13</v>
      </c>
      <c r="F209" s="323">
        <v>0.13</v>
      </c>
      <c r="G209" s="324">
        <v>0.13</v>
      </c>
    </row>
    <row r="210" spans="1:7">
      <c r="A210" s="333" t="s">
        <v>278</v>
      </c>
      <c r="B210" s="322" t="s">
        <v>2460</v>
      </c>
      <c r="C210" s="323">
        <v>0.121</v>
      </c>
      <c r="D210" s="323">
        <v>0.121</v>
      </c>
      <c r="E210" s="323">
        <v>0.125</v>
      </c>
      <c r="F210" s="323">
        <v>0.13</v>
      </c>
      <c r="G210" s="324">
        <v>0.123</v>
      </c>
    </row>
    <row r="211" spans="1:7">
      <c r="A211" s="333" t="s">
        <v>278</v>
      </c>
      <c r="B211" s="322" t="s">
        <v>2468</v>
      </c>
      <c r="C211" s="323">
        <v>0.123</v>
      </c>
      <c r="D211" s="323">
        <v>0.123</v>
      </c>
      <c r="E211" s="323">
        <v>0.127</v>
      </c>
      <c r="F211" s="323">
        <v>0.115</v>
      </c>
      <c r="G211" s="324">
        <v>0.126</v>
      </c>
    </row>
    <row r="212" spans="1:7">
      <c r="A212" s="333" t="s">
        <v>278</v>
      </c>
      <c r="B212" s="322" t="s">
        <v>2476</v>
      </c>
      <c r="C212" s="323">
        <v>0.126</v>
      </c>
      <c r="D212" s="323">
        <v>0.126</v>
      </c>
      <c r="E212" s="323">
        <v>0.13</v>
      </c>
      <c r="F212" s="323">
        <v>0.13</v>
      </c>
      <c r="G212" s="324">
        <v>0.129</v>
      </c>
    </row>
    <row r="213" spans="1:7">
      <c r="A213" s="333" t="s">
        <v>278</v>
      </c>
      <c r="B213" s="322" t="s">
        <v>2484</v>
      </c>
      <c r="C213" s="323">
        <v>0.129</v>
      </c>
      <c r="D213" s="323">
        <v>0.13</v>
      </c>
      <c r="E213" s="323">
        <v>0.127</v>
      </c>
      <c r="F213" s="323">
        <v>0.13</v>
      </c>
      <c r="G213" s="324">
        <v>0.13</v>
      </c>
    </row>
    <row r="214" spans="1:7">
      <c r="A214" s="333" t="s">
        <v>278</v>
      </c>
      <c r="B214" s="322" t="s">
        <v>2492</v>
      </c>
      <c r="C214" s="323">
        <v>0.128</v>
      </c>
      <c r="D214" s="323">
        <v>0.128</v>
      </c>
      <c r="E214" s="323">
        <v>0.13</v>
      </c>
      <c r="F214" s="323">
        <v>0.13</v>
      </c>
      <c r="G214" s="324">
        <v>0.13</v>
      </c>
    </row>
    <row r="215" spans="1:7">
      <c r="A215" s="333" t="s">
        <v>278</v>
      </c>
      <c r="B215" s="322" t="s">
        <v>2499</v>
      </c>
      <c r="C215" s="323">
        <v>0.13</v>
      </c>
      <c r="D215" s="323">
        <v>0.13</v>
      </c>
      <c r="E215" s="323">
        <v>0.13</v>
      </c>
      <c r="F215" s="323">
        <v>0.129</v>
      </c>
      <c r="G215" s="324">
        <v>0.13</v>
      </c>
    </row>
    <row r="216" spans="1:7">
      <c r="A216" s="333" t="s">
        <v>278</v>
      </c>
      <c r="B216" s="322" t="s">
        <v>2506</v>
      </c>
      <c r="C216" s="323">
        <v>0.13</v>
      </c>
      <c r="D216" s="323">
        <v>0.13</v>
      </c>
      <c r="E216" s="323">
        <v>0.13</v>
      </c>
      <c r="F216" s="323">
        <v>0.13</v>
      </c>
      <c r="G216" s="324">
        <v>0.13</v>
      </c>
    </row>
    <row r="217" spans="1:7">
      <c r="A217" s="333" t="s">
        <v>278</v>
      </c>
      <c r="B217" s="322" t="s">
        <v>2513</v>
      </c>
      <c r="C217" s="323">
        <v>0.129</v>
      </c>
      <c r="D217" s="323">
        <v>0.129</v>
      </c>
      <c r="E217" s="323">
        <v>0.13</v>
      </c>
      <c r="F217" s="323">
        <v>0.13</v>
      </c>
      <c r="G217" s="324">
        <v>0.13</v>
      </c>
    </row>
    <row r="218" spans="1:7">
      <c r="A218" s="333" t="s">
        <v>278</v>
      </c>
      <c r="B218" s="322" t="s">
        <v>2520</v>
      </c>
      <c r="C218" s="334"/>
      <c r="D218" s="334"/>
      <c r="E218" s="334"/>
      <c r="F218" s="323">
        <v>0.05</v>
      </c>
      <c r="G218" s="340"/>
    </row>
    <row r="219" spans="1:7">
      <c r="A219" s="333" t="s">
        <v>278</v>
      </c>
      <c r="B219" s="322" t="s">
        <v>2527</v>
      </c>
      <c r="C219" s="334"/>
      <c r="D219" s="334"/>
      <c r="E219" s="334"/>
      <c r="F219" s="323">
        <v>0.05</v>
      </c>
      <c r="G219" s="340"/>
    </row>
    <row r="220" spans="1:7">
      <c r="A220" s="333" t="s">
        <v>278</v>
      </c>
      <c r="B220" s="322" t="s">
        <v>2534</v>
      </c>
      <c r="C220" s="334"/>
      <c r="D220" s="334"/>
      <c r="E220" s="334"/>
      <c r="F220" s="323">
        <v>0.05</v>
      </c>
      <c r="G220" s="340"/>
    </row>
    <row r="221" spans="1:7">
      <c r="A221" s="333" t="s">
        <v>278</v>
      </c>
      <c r="B221" s="322" t="s">
        <v>2541</v>
      </c>
      <c r="C221" s="334"/>
      <c r="D221" s="334"/>
      <c r="E221" s="334"/>
      <c r="F221" s="323">
        <v>0.05</v>
      </c>
      <c r="G221" s="340"/>
    </row>
    <row r="222" spans="1:7">
      <c r="A222" s="333" t="s">
        <v>278</v>
      </c>
      <c r="B222" s="322" t="s">
        <v>2546</v>
      </c>
      <c r="C222" s="334"/>
      <c r="D222" s="334"/>
      <c r="E222" s="334"/>
      <c r="F222" s="323">
        <v>0.05</v>
      </c>
      <c r="G222" s="340"/>
    </row>
    <row r="223" spans="1:7">
      <c r="A223" s="333" t="s">
        <v>278</v>
      </c>
      <c r="B223" s="322" t="s">
        <v>2551</v>
      </c>
      <c r="C223" s="334"/>
      <c r="D223" s="334"/>
      <c r="E223" s="334"/>
      <c r="F223" s="323">
        <v>0.05</v>
      </c>
      <c r="G223" s="340"/>
    </row>
    <row r="224" spans="1:7">
      <c r="A224" s="333" t="s">
        <v>278</v>
      </c>
      <c r="B224" s="322" t="s">
        <v>2556</v>
      </c>
      <c r="C224" s="334"/>
      <c r="D224" s="334"/>
      <c r="E224" s="334"/>
      <c r="F224" s="323">
        <v>0.05</v>
      </c>
      <c r="G224" s="340"/>
    </row>
    <row r="225" spans="1:7">
      <c r="A225" s="333" t="s">
        <v>278</v>
      </c>
      <c r="B225" s="322" t="s">
        <v>2561</v>
      </c>
      <c r="C225" s="334"/>
      <c r="D225" s="334"/>
      <c r="E225" s="334"/>
      <c r="F225" s="323">
        <v>0.05</v>
      </c>
      <c r="G225" s="340"/>
    </row>
    <row r="226" spans="1:7">
      <c r="A226" s="333" t="s">
        <v>278</v>
      </c>
      <c r="B226" s="322" t="s">
        <v>2566</v>
      </c>
      <c r="C226" s="334"/>
      <c r="D226" s="334"/>
      <c r="E226" s="334"/>
      <c r="F226" s="323">
        <v>0.05</v>
      </c>
      <c r="G226" s="340"/>
    </row>
    <row r="227" spans="1:7">
      <c r="A227" s="333" t="s">
        <v>278</v>
      </c>
      <c r="B227" s="322" t="s">
        <v>2625</v>
      </c>
      <c r="C227" s="334"/>
      <c r="D227" s="334"/>
      <c r="E227" s="334"/>
      <c r="F227" s="323">
        <v>0.05</v>
      </c>
      <c r="G227" s="340"/>
    </row>
    <row r="228" spans="1:7">
      <c r="A228" s="333" t="s">
        <v>278</v>
      </c>
      <c r="B228" s="322" t="s">
        <v>2626</v>
      </c>
      <c r="C228" s="334"/>
      <c r="D228" s="334"/>
      <c r="E228" s="334"/>
      <c r="F228" s="323">
        <v>0.05</v>
      </c>
      <c r="G228" s="340"/>
    </row>
    <row r="229" spans="1:7">
      <c r="A229" s="333" t="s">
        <v>278</v>
      </c>
      <c r="B229" s="322" t="s">
        <v>2627</v>
      </c>
      <c r="C229" s="334"/>
      <c r="D229" s="334"/>
      <c r="E229" s="334"/>
      <c r="F229" s="323">
        <v>0.05</v>
      </c>
      <c r="G229" s="340"/>
    </row>
    <row r="230" spans="1:7">
      <c r="A230" s="333" t="s">
        <v>278</v>
      </c>
      <c r="B230" s="322" t="s">
        <v>2585</v>
      </c>
      <c r="C230" s="334"/>
      <c r="D230" s="334"/>
      <c r="E230" s="334"/>
      <c r="F230" s="323">
        <v>0.05</v>
      </c>
      <c r="G230" s="340"/>
    </row>
    <row r="231" spans="1:7">
      <c r="A231" s="333" t="s">
        <v>278</v>
      </c>
      <c r="B231" s="322" t="s">
        <v>2589</v>
      </c>
      <c r="C231" s="334"/>
      <c r="D231" s="334"/>
      <c r="E231" s="334"/>
      <c r="F231" s="323">
        <v>0.05</v>
      </c>
      <c r="G231" s="340"/>
    </row>
    <row r="232" spans="1:7">
      <c r="A232" s="333" t="s">
        <v>278</v>
      </c>
      <c r="B232" s="322" t="s">
        <v>2628</v>
      </c>
      <c r="C232" s="334"/>
      <c r="D232" s="334"/>
      <c r="E232" s="334"/>
      <c r="F232" s="323">
        <v>0.05</v>
      </c>
      <c r="G232" s="340"/>
    </row>
    <row r="233" ht="14.25" spans="1:7">
      <c r="A233" s="336" t="s">
        <v>278</v>
      </c>
      <c r="B233" s="326" t="s">
        <v>2597</v>
      </c>
      <c r="C233" s="328"/>
      <c r="D233" s="328"/>
      <c r="E233" s="328"/>
      <c r="F233" s="327">
        <v>0.05</v>
      </c>
      <c r="G233" s="341"/>
    </row>
    <row r="234" spans="1:7">
      <c r="A234" s="332" t="s">
        <v>284</v>
      </c>
      <c r="B234" s="318" t="s">
        <v>2248</v>
      </c>
      <c r="C234" s="319">
        <v>0.13</v>
      </c>
      <c r="D234" s="319">
        <v>0.128</v>
      </c>
      <c r="E234" s="319">
        <v>0.142</v>
      </c>
      <c r="F234" s="319">
        <v>0.147</v>
      </c>
      <c r="G234" s="320">
        <v>0.14</v>
      </c>
    </row>
    <row r="235" spans="1:7">
      <c r="A235" s="333" t="s">
        <v>284</v>
      </c>
      <c r="B235" s="322" t="s">
        <v>2261</v>
      </c>
      <c r="C235" s="323">
        <v>0.136</v>
      </c>
      <c r="D235" s="323">
        <v>0.138</v>
      </c>
      <c r="E235" s="323">
        <v>0.145</v>
      </c>
      <c r="F235" s="323">
        <v>0.143</v>
      </c>
      <c r="G235" s="324">
        <v>0.141</v>
      </c>
    </row>
    <row r="236" spans="1:7">
      <c r="A236" s="333" t="s">
        <v>284</v>
      </c>
      <c r="B236" s="322" t="s">
        <v>2275</v>
      </c>
      <c r="C236" s="323">
        <v>0.15</v>
      </c>
      <c r="D236" s="323">
        <v>0.15</v>
      </c>
      <c r="E236" s="323">
        <v>0.15</v>
      </c>
      <c r="F236" s="323">
        <v>0.15</v>
      </c>
      <c r="G236" s="324">
        <v>0.15</v>
      </c>
    </row>
    <row r="237" spans="1:7">
      <c r="A237" s="333" t="s">
        <v>284</v>
      </c>
      <c r="B237" s="322" t="s">
        <v>2287</v>
      </c>
      <c r="C237" s="323">
        <v>0.15</v>
      </c>
      <c r="D237" s="323">
        <v>0.15</v>
      </c>
      <c r="E237" s="323">
        <v>0.15</v>
      </c>
      <c r="F237" s="323">
        <v>0.15</v>
      </c>
      <c r="G237" s="324">
        <v>0.15</v>
      </c>
    </row>
    <row r="238" spans="1:7">
      <c r="A238" s="333" t="s">
        <v>284</v>
      </c>
      <c r="B238" s="322" t="s">
        <v>2299</v>
      </c>
      <c r="C238" s="323">
        <v>0.149</v>
      </c>
      <c r="D238" s="323">
        <v>0.149</v>
      </c>
      <c r="E238" s="323">
        <v>0.15</v>
      </c>
      <c r="F238" s="323">
        <v>0.15</v>
      </c>
      <c r="G238" s="324">
        <v>0.15</v>
      </c>
    </row>
    <row r="239" spans="1:7">
      <c r="A239" s="333" t="s">
        <v>284</v>
      </c>
      <c r="B239" s="322" t="s">
        <v>2310</v>
      </c>
      <c r="C239" s="323">
        <v>0.15</v>
      </c>
      <c r="D239" s="323">
        <v>0.15</v>
      </c>
      <c r="E239" s="323">
        <v>0.15</v>
      </c>
      <c r="F239" s="323">
        <v>0.15</v>
      </c>
      <c r="G239" s="324">
        <v>0.15</v>
      </c>
    </row>
    <row r="240" spans="1:7">
      <c r="A240" s="333" t="s">
        <v>284</v>
      </c>
      <c r="B240" s="322" t="s">
        <v>2321</v>
      </c>
      <c r="C240" s="323">
        <v>0.15</v>
      </c>
      <c r="D240" s="323">
        <v>0.15</v>
      </c>
      <c r="E240" s="323">
        <v>0.15</v>
      </c>
      <c r="F240" s="323">
        <v>0.15</v>
      </c>
      <c r="G240" s="324">
        <v>0.15</v>
      </c>
    </row>
    <row r="241" spans="1:7">
      <c r="A241" s="333" t="s">
        <v>284</v>
      </c>
      <c r="B241" s="322" t="s">
        <v>2332</v>
      </c>
      <c r="C241" s="323">
        <v>0.141</v>
      </c>
      <c r="D241" s="323">
        <v>0.142</v>
      </c>
      <c r="E241" s="323">
        <v>0.149</v>
      </c>
      <c r="F241" s="323">
        <v>0.15</v>
      </c>
      <c r="G241" s="324">
        <v>0.144</v>
      </c>
    </row>
    <row r="242" spans="1:7">
      <c r="A242" s="333" t="s">
        <v>284</v>
      </c>
      <c r="B242" s="322" t="s">
        <v>2342</v>
      </c>
      <c r="C242" s="323">
        <v>0.141</v>
      </c>
      <c r="D242" s="323">
        <v>0.142</v>
      </c>
      <c r="E242" s="323">
        <v>0.148</v>
      </c>
      <c r="F242" s="323">
        <v>0.127</v>
      </c>
      <c r="G242" s="324">
        <v>0.144</v>
      </c>
    </row>
    <row r="243" spans="1:7">
      <c r="A243" s="333" t="s">
        <v>284</v>
      </c>
      <c r="B243" s="322" t="s">
        <v>2352</v>
      </c>
      <c r="C243" s="323">
        <v>0.147</v>
      </c>
      <c r="D243" s="323">
        <v>0.147</v>
      </c>
      <c r="E243" s="323">
        <v>0.15</v>
      </c>
      <c r="F243" s="323">
        <v>0.15</v>
      </c>
      <c r="G243" s="324">
        <v>0.149</v>
      </c>
    </row>
    <row r="244" spans="1:7">
      <c r="A244" s="333" t="s">
        <v>284</v>
      </c>
      <c r="B244" s="322" t="s">
        <v>2362</v>
      </c>
      <c r="C244" s="323">
        <v>0.15</v>
      </c>
      <c r="D244" s="323">
        <v>0.15</v>
      </c>
      <c r="E244" s="323">
        <v>0.15</v>
      </c>
      <c r="F244" s="323">
        <v>0.15</v>
      </c>
      <c r="G244" s="324">
        <v>0.15</v>
      </c>
    </row>
    <row r="245" spans="1:7">
      <c r="A245" s="333" t="s">
        <v>284</v>
      </c>
      <c r="B245" s="322" t="s">
        <v>2372</v>
      </c>
      <c r="C245" s="323">
        <v>0.142</v>
      </c>
      <c r="D245" s="323">
        <v>0.142</v>
      </c>
      <c r="E245" s="323">
        <v>0.15</v>
      </c>
      <c r="F245" s="323">
        <v>0.15</v>
      </c>
      <c r="G245" s="324">
        <v>0.145</v>
      </c>
    </row>
    <row r="246" spans="1:7">
      <c r="A246" s="333" t="s">
        <v>284</v>
      </c>
      <c r="B246" s="322" t="s">
        <v>2382</v>
      </c>
      <c r="C246" s="323">
        <v>0.142</v>
      </c>
      <c r="D246" s="323">
        <v>0.143</v>
      </c>
      <c r="E246" s="323">
        <v>0.15</v>
      </c>
      <c r="F246" s="323">
        <v>0.142</v>
      </c>
      <c r="G246" s="324">
        <v>0.144</v>
      </c>
    </row>
    <row r="247" spans="1:7">
      <c r="A247" s="333" t="s">
        <v>284</v>
      </c>
      <c r="B247" s="322" t="s">
        <v>2392</v>
      </c>
      <c r="C247" s="323">
        <v>0.149</v>
      </c>
      <c r="D247" s="323">
        <v>0.149</v>
      </c>
      <c r="E247" s="323">
        <v>0.15</v>
      </c>
      <c r="F247" s="323">
        <v>0.15</v>
      </c>
      <c r="G247" s="324">
        <v>0.15</v>
      </c>
    </row>
    <row r="248" spans="1:7">
      <c r="A248" s="333" t="s">
        <v>284</v>
      </c>
      <c r="B248" s="322" t="s">
        <v>2402</v>
      </c>
      <c r="C248" s="323">
        <v>0.144</v>
      </c>
      <c r="D248" s="323">
        <v>0.144</v>
      </c>
      <c r="E248" s="323">
        <v>0.149</v>
      </c>
      <c r="F248" s="323">
        <v>0.148</v>
      </c>
      <c r="G248" s="324">
        <v>0.146</v>
      </c>
    </row>
    <row r="249" spans="1:7">
      <c r="A249" s="333" t="s">
        <v>284</v>
      </c>
      <c r="B249" s="322" t="s">
        <v>2412</v>
      </c>
      <c r="C249" s="323">
        <v>0.14</v>
      </c>
      <c r="D249" s="323">
        <v>0.14</v>
      </c>
      <c r="E249" s="323">
        <v>0.147</v>
      </c>
      <c r="F249" s="323">
        <v>0.149</v>
      </c>
      <c r="G249" s="324">
        <v>0.142</v>
      </c>
    </row>
    <row r="250" spans="1:7">
      <c r="A250" s="333" t="s">
        <v>284</v>
      </c>
      <c r="B250" s="322" t="s">
        <v>2422</v>
      </c>
      <c r="C250" s="323">
        <v>0.144</v>
      </c>
      <c r="D250" s="323">
        <v>0.143</v>
      </c>
      <c r="E250" s="323">
        <v>0.149</v>
      </c>
      <c r="F250" s="323">
        <v>0.15</v>
      </c>
      <c r="G250" s="324">
        <v>0.146</v>
      </c>
    </row>
    <row r="251" spans="1:7">
      <c r="A251" s="333" t="s">
        <v>284</v>
      </c>
      <c r="B251" s="322" t="s">
        <v>2432</v>
      </c>
      <c r="C251" s="339"/>
      <c r="D251" s="334"/>
      <c r="E251" s="334"/>
      <c r="F251" s="323">
        <v>0.1</v>
      </c>
      <c r="G251" s="340"/>
    </row>
    <row r="252" spans="1:7">
      <c r="A252" s="333" t="s">
        <v>284</v>
      </c>
      <c r="B252" s="322" t="s">
        <v>2442</v>
      </c>
      <c r="C252" s="323">
        <v>0.144</v>
      </c>
      <c r="D252" s="323">
        <v>0.144</v>
      </c>
      <c r="E252" s="323">
        <v>0.15</v>
      </c>
      <c r="F252" s="323">
        <v>0.149</v>
      </c>
      <c r="G252" s="324">
        <v>0.146</v>
      </c>
    </row>
    <row r="253" spans="1:7">
      <c r="A253" s="333" t="s">
        <v>284</v>
      </c>
      <c r="B253" s="322" t="s">
        <v>2452</v>
      </c>
      <c r="C253" s="323">
        <v>0.142</v>
      </c>
      <c r="D253" s="323">
        <v>0.142</v>
      </c>
      <c r="E253" s="323">
        <v>0.146</v>
      </c>
      <c r="F253" s="323">
        <v>0.148</v>
      </c>
      <c r="G253" s="324">
        <v>0.145</v>
      </c>
    </row>
    <row r="254" spans="1:7">
      <c r="A254" s="333" t="s">
        <v>284</v>
      </c>
      <c r="B254" s="322" t="s">
        <v>2461</v>
      </c>
      <c r="C254" s="323">
        <v>0.15</v>
      </c>
      <c r="D254" s="323">
        <v>0.15</v>
      </c>
      <c r="E254" s="323">
        <v>0.15</v>
      </c>
      <c r="F254" s="323">
        <v>0.15</v>
      </c>
      <c r="G254" s="324">
        <v>0.15</v>
      </c>
    </row>
    <row r="255" spans="1:7">
      <c r="A255" s="333" t="s">
        <v>284</v>
      </c>
      <c r="B255" s="322" t="s">
        <v>2469</v>
      </c>
      <c r="C255" s="323">
        <v>0.143</v>
      </c>
      <c r="D255" s="323">
        <v>0.143</v>
      </c>
      <c r="E255" s="323">
        <v>0.15</v>
      </c>
      <c r="F255" s="323">
        <v>0.15</v>
      </c>
      <c r="G255" s="324">
        <v>0.145</v>
      </c>
    </row>
    <row r="256" spans="1:7">
      <c r="A256" s="333" t="s">
        <v>284</v>
      </c>
      <c r="B256" s="322" t="s">
        <v>2477</v>
      </c>
      <c r="C256" s="323">
        <v>0.15</v>
      </c>
      <c r="D256" s="323">
        <v>0.15</v>
      </c>
      <c r="E256" s="323">
        <v>0.15</v>
      </c>
      <c r="F256" s="323">
        <v>0.146</v>
      </c>
      <c r="G256" s="324">
        <v>0.15</v>
      </c>
    </row>
    <row r="257" spans="1:7">
      <c r="A257" s="333" t="s">
        <v>284</v>
      </c>
      <c r="B257" s="322" t="s">
        <v>2485</v>
      </c>
      <c r="C257" s="323">
        <v>0.142</v>
      </c>
      <c r="D257" s="323">
        <v>0.143</v>
      </c>
      <c r="E257" s="323">
        <v>0.148</v>
      </c>
      <c r="F257" s="323">
        <v>0.15</v>
      </c>
      <c r="G257" s="324">
        <v>0.145</v>
      </c>
    </row>
    <row r="258" spans="1:7">
      <c r="A258" s="333" t="s">
        <v>284</v>
      </c>
      <c r="B258" s="322" t="s">
        <v>2493</v>
      </c>
      <c r="C258" s="323">
        <v>0.143</v>
      </c>
      <c r="D258" s="323">
        <v>0.143</v>
      </c>
      <c r="E258" s="323">
        <v>0.15</v>
      </c>
      <c r="F258" s="323">
        <v>0.148</v>
      </c>
      <c r="G258" s="324">
        <v>0.146</v>
      </c>
    </row>
    <row r="259" spans="1:7">
      <c r="A259" s="333" t="s">
        <v>284</v>
      </c>
      <c r="B259" s="322" t="s">
        <v>2500</v>
      </c>
      <c r="C259" s="323">
        <v>0.144</v>
      </c>
      <c r="D259" s="323">
        <v>0.144</v>
      </c>
      <c r="E259" s="323">
        <v>0.149</v>
      </c>
      <c r="F259" s="323">
        <v>0.147</v>
      </c>
      <c r="G259" s="324">
        <v>0.146</v>
      </c>
    </row>
    <row r="260" spans="1:7">
      <c r="A260" s="333" t="s">
        <v>284</v>
      </c>
      <c r="B260" s="322" t="s">
        <v>2507</v>
      </c>
      <c r="C260" s="323">
        <v>0.109</v>
      </c>
      <c r="D260" s="323">
        <v>0.111</v>
      </c>
      <c r="E260" s="323">
        <v>0.131</v>
      </c>
      <c r="F260" s="323">
        <v>0.126</v>
      </c>
      <c r="G260" s="324">
        <v>0.119</v>
      </c>
    </row>
    <row r="261" spans="1:7">
      <c r="A261" s="333" t="s">
        <v>284</v>
      </c>
      <c r="B261" s="322" t="s">
        <v>2514</v>
      </c>
      <c r="C261" s="323">
        <v>0.1</v>
      </c>
      <c r="D261" s="323">
        <v>0.1</v>
      </c>
      <c r="E261" s="323">
        <v>0.118</v>
      </c>
      <c r="F261" s="323">
        <v>0.108</v>
      </c>
      <c r="G261" s="324">
        <v>0.107</v>
      </c>
    </row>
    <row r="262" spans="1:7">
      <c r="A262" s="333" t="s">
        <v>284</v>
      </c>
      <c r="B262" s="322" t="s">
        <v>2521</v>
      </c>
      <c r="C262" s="323">
        <v>0.1</v>
      </c>
      <c r="D262" s="323">
        <v>0.1</v>
      </c>
      <c r="E262" s="323">
        <v>0.1</v>
      </c>
      <c r="F262" s="323">
        <v>0.141</v>
      </c>
      <c r="G262" s="324">
        <v>0.1</v>
      </c>
    </row>
    <row r="263" spans="1:7">
      <c r="A263" s="333" t="s">
        <v>284</v>
      </c>
      <c r="B263" s="322" t="s">
        <v>2528</v>
      </c>
      <c r="C263" s="323">
        <v>0.148</v>
      </c>
      <c r="D263" s="323">
        <v>0.148</v>
      </c>
      <c r="E263" s="323">
        <v>0.15</v>
      </c>
      <c r="F263" s="323">
        <v>0.147</v>
      </c>
      <c r="G263" s="324">
        <v>0.15</v>
      </c>
    </row>
    <row r="264" spans="1:7">
      <c r="A264" s="333" t="s">
        <v>284</v>
      </c>
      <c r="B264" s="322" t="s">
        <v>2535</v>
      </c>
      <c r="C264" s="323">
        <v>0.143</v>
      </c>
      <c r="D264" s="323">
        <v>0.143</v>
      </c>
      <c r="E264" s="323">
        <v>0.15</v>
      </c>
      <c r="F264" s="323">
        <v>0.149</v>
      </c>
      <c r="G264" s="324">
        <v>0.146</v>
      </c>
    </row>
    <row r="265" spans="1:7">
      <c r="A265" s="333" t="s">
        <v>284</v>
      </c>
      <c r="B265" s="322" t="s">
        <v>2542</v>
      </c>
      <c r="C265" s="334"/>
      <c r="D265" s="334"/>
      <c r="E265" s="334"/>
      <c r="F265" s="323">
        <v>0.05</v>
      </c>
      <c r="G265" s="340"/>
    </row>
    <row r="266" spans="1:7">
      <c r="A266" s="333" t="s">
        <v>284</v>
      </c>
      <c r="B266" s="322" t="s">
        <v>2547</v>
      </c>
      <c r="C266" s="334"/>
      <c r="D266" s="334"/>
      <c r="E266" s="334"/>
      <c r="F266" s="323">
        <v>0.05</v>
      </c>
      <c r="G266" s="340"/>
    </row>
    <row r="267" spans="1:7">
      <c r="A267" s="333" t="s">
        <v>284</v>
      </c>
      <c r="B267" s="322" t="s">
        <v>2552</v>
      </c>
      <c r="C267" s="334"/>
      <c r="D267" s="334"/>
      <c r="E267" s="334"/>
      <c r="F267" s="323">
        <v>0.05</v>
      </c>
      <c r="G267" s="340"/>
    </row>
    <row r="268" spans="1:7">
      <c r="A268" s="333" t="s">
        <v>284</v>
      </c>
      <c r="B268" s="322" t="s">
        <v>2557</v>
      </c>
      <c r="C268" s="334"/>
      <c r="D268" s="334"/>
      <c r="E268" s="334"/>
      <c r="F268" s="323">
        <v>0.05</v>
      </c>
      <c r="G268" s="340"/>
    </row>
    <row r="269" spans="1:7">
      <c r="A269" s="333" t="s">
        <v>284</v>
      </c>
      <c r="B269" s="322" t="s">
        <v>2562</v>
      </c>
      <c r="C269" s="334"/>
      <c r="D269" s="334"/>
      <c r="E269" s="334"/>
      <c r="F269" s="323">
        <v>0.05</v>
      </c>
      <c r="G269" s="340"/>
    </row>
    <row r="270" spans="1:7">
      <c r="A270" s="333" t="s">
        <v>284</v>
      </c>
      <c r="B270" s="322" t="s">
        <v>2567</v>
      </c>
      <c r="C270" s="334"/>
      <c r="D270" s="334"/>
      <c r="E270" s="334"/>
      <c r="F270" s="323">
        <v>0.05</v>
      </c>
      <c r="G270" s="340"/>
    </row>
    <row r="271" spans="1:7">
      <c r="A271" s="333" t="s">
        <v>284</v>
      </c>
      <c r="B271" s="322" t="s">
        <v>2572</v>
      </c>
      <c r="C271" s="334"/>
      <c r="D271" s="334"/>
      <c r="E271" s="334"/>
      <c r="F271" s="323">
        <v>0.05</v>
      </c>
      <c r="G271" s="340"/>
    </row>
    <row r="272" spans="1:7">
      <c r="A272" s="333" t="s">
        <v>284</v>
      </c>
      <c r="B272" s="322" t="s">
        <v>2577</v>
      </c>
      <c r="C272" s="334"/>
      <c r="D272" s="334"/>
      <c r="E272" s="334"/>
      <c r="F272" s="323">
        <v>0.05</v>
      </c>
      <c r="G272" s="340"/>
    </row>
    <row r="273" spans="1:7">
      <c r="A273" s="333" t="s">
        <v>284</v>
      </c>
      <c r="B273" s="322" t="s">
        <v>2582</v>
      </c>
      <c r="C273" s="334"/>
      <c r="D273" s="334"/>
      <c r="E273" s="334"/>
      <c r="F273" s="323">
        <v>0.05</v>
      </c>
      <c r="G273" s="340"/>
    </row>
    <row r="274" spans="1:7">
      <c r="A274" s="333" t="s">
        <v>284</v>
      </c>
      <c r="B274" s="322" t="s">
        <v>2586</v>
      </c>
      <c r="C274" s="334"/>
      <c r="D274" s="334"/>
      <c r="E274" s="334"/>
      <c r="F274" s="323">
        <v>0.05</v>
      </c>
      <c r="G274" s="340"/>
    </row>
    <row r="275" spans="1:7">
      <c r="A275" s="333" t="s">
        <v>284</v>
      </c>
      <c r="B275" s="322" t="s">
        <v>2590</v>
      </c>
      <c r="C275" s="334"/>
      <c r="D275" s="334"/>
      <c r="E275" s="334"/>
      <c r="F275" s="323">
        <v>0.05</v>
      </c>
      <c r="G275" s="340"/>
    </row>
    <row r="276" ht="14.25" spans="1:7">
      <c r="A276" s="336" t="s">
        <v>284</v>
      </c>
      <c r="B276" s="326" t="s">
        <v>2594</v>
      </c>
      <c r="C276" s="328"/>
      <c r="D276" s="328"/>
      <c r="E276" s="328"/>
      <c r="F276" s="327">
        <v>0.05</v>
      </c>
      <c r="G276" s="341"/>
    </row>
    <row r="277" spans="1:7">
      <c r="A277" s="332" t="s">
        <v>288</v>
      </c>
      <c r="B277" s="318" t="s">
        <v>2249</v>
      </c>
      <c r="C277" s="319">
        <v>0.15</v>
      </c>
      <c r="D277" s="319">
        <v>0.15</v>
      </c>
      <c r="E277" s="319">
        <v>0.15</v>
      </c>
      <c r="F277" s="319">
        <v>0.15</v>
      </c>
      <c r="G277" s="320">
        <v>0.15</v>
      </c>
    </row>
    <row r="278" spans="1:7">
      <c r="A278" s="333" t="s">
        <v>288</v>
      </c>
      <c r="B278" s="322" t="s">
        <v>2262</v>
      </c>
      <c r="C278" s="323">
        <v>0.15</v>
      </c>
      <c r="D278" s="323">
        <v>0.15</v>
      </c>
      <c r="E278" s="323">
        <v>0.15</v>
      </c>
      <c r="F278" s="323">
        <v>0.15</v>
      </c>
      <c r="G278" s="324">
        <v>0.15</v>
      </c>
    </row>
    <row r="279" spans="1:7">
      <c r="A279" s="333" t="s">
        <v>288</v>
      </c>
      <c r="B279" s="322" t="s">
        <v>2276</v>
      </c>
      <c r="C279" s="323">
        <v>0.15</v>
      </c>
      <c r="D279" s="323">
        <v>0.15</v>
      </c>
      <c r="E279" s="323">
        <v>0.15</v>
      </c>
      <c r="F279" s="323">
        <v>0.15</v>
      </c>
      <c r="G279" s="324">
        <v>0.15</v>
      </c>
    </row>
    <row r="280" spans="1:7">
      <c r="A280" s="333" t="s">
        <v>288</v>
      </c>
      <c r="B280" s="322" t="s">
        <v>2288</v>
      </c>
      <c r="C280" s="323">
        <v>0.15</v>
      </c>
      <c r="D280" s="323">
        <v>0.15</v>
      </c>
      <c r="E280" s="323">
        <v>0.15</v>
      </c>
      <c r="F280" s="323">
        <v>0.15</v>
      </c>
      <c r="G280" s="324">
        <v>0.15</v>
      </c>
    </row>
    <row r="281" spans="1:7">
      <c r="A281" s="333" t="s">
        <v>288</v>
      </c>
      <c r="B281" s="322" t="s">
        <v>2300</v>
      </c>
      <c r="C281" s="323">
        <v>0.15</v>
      </c>
      <c r="D281" s="323">
        <v>0.15</v>
      </c>
      <c r="E281" s="323">
        <v>0.15</v>
      </c>
      <c r="F281" s="323">
        <v>0.15</v>
      </c>
      <c r="G281" s="324">
        <v>0.15</v>
      </c>
    </row>
    <row r="282" spans="1:7">
      <c r="A282" s="333" t="s">
        <v>288</v>
      </c>
      <c r="B282" s="322" t="s">
        <v>2311</v>
      </c>
      <c r="C282" s="323">
        <v>0.15</v>
      </c>
      <c r="D282" s="323">
        <v>0.15</v>
      </c>
      <c r="E282" s="323">
        <v>0.15</v>
      </c>
      <c r="F282" s="323">
        <v>0.145</v>
      </c>
      <c r="G282" s="324">
        <v>0.15</v>
      </c>
    </row>
    <row r="283" spans="1:7">
      <c r="A283" s="333" t="s">
        <v>288</v>
      </c>
      <c r="B283" s="322" t="s">
        <v>2322</v>
      </c>
      <c r="C283" s="323">
        <v>0.15</v>
      </c>
      <c r="D283" s="323">
        <v>0.15</v>
      </c>
      <c r="E283" s="323">
        <v>0.15</v>
      </c>
      <c r="F283" s="323">
        <v>0.142</v>
      </c>
      <c r="G283" s="324">
        <v>0.15</v>
      </c>
    </row>
    <row r="284" spans="1:7">
      <c r="A284" s="333" t="s">
        <v>288</v>
      </c>
      <c r="B284" s="322" t="s">
        <v>2333</v>
      </c>
      <c r="C284" s="323">
        <v>0.15</v>
      </c>
      <c r="D284" s="323">
        <v>0.15</v>
      </c>
      <c r="E284" s="323">
        <v>0.15</v>
      </c>
      <c r="F284" s="323">
        <v>0.15</v>
      </c>
      <c r="G284" s="324">
        <v>0.15</v>
      </c>
    </row>
    <row r="285" spans="1:7">
      <c r="A285" s="333" t="s">
        <v>288</v>
      </c>
      <c r="B285" s="322" t="s">
        <v>2343</v>
      </c>
      <c r="C285" s="323">
        <v>0.15</v>
      </c>
      <c r="D285" s="323">
        <v>0.15</v>
      </c>
      <c r="E285" s="323">
        <v>0.15</v>
      </c>
      <c r="F285" s="323">
        <v>0.15</v>
      </c>
      <c r="G285" s="324">
        <v>0.15</v>
      </c>
    </row>
    <row r="286" spans="1:7">
      <c r="A286" s="333" t="s">
        <v>288</v>
      </c>
      <c r="B286" s="322" t="s">
        <v>2353</v>
      </c>
      <c r="C286" s="323">
        <v>0.145</v>
      </c>
      <c r="D286" s="323">
        <v>0.145</v>
      </c>
      <c r="E286" s="323">
        <v>0.15</v>
      </c>
      <c r="F286" s="323">
        <v>0.141</v>
      </c>
      <c r="G286" s="324">
        <v>0.145</v>
      </c>
    </row>
    <row r="287" spans="1:7">
      <c r="A287" s="333" t="s">
        <v>288</v>
      </c>
      <c r="B287" s="322" t="s">
        <v>2363</v>
      </c>
      <c r="C287" s="323">
        <v>0.11</v>
      </c>
      <c r="D287" s="323">
        <v>0.111</v>
      </c>
      <c r="E287" s="323">
        <v>0.141</v>
      </c>
      <c r="F287" s="323">
        <v>0.11</v>
      </c>
      <c r="G287" s="324">
        <v>0.12</v>
      </c>
    </row>
    <row r="288" spans="1:7">
      <c r="A288" s="333" t="s">
        <v>288</v>
      </c>
      <c r="B288" s="322" t="s">
        <v>2373</v>
      </c>
      <c r="C288" s="323">
        <v>0.142</v>
      </c>
      <c r="D288" s="323">
        <v>0.143</v>
      </c>
      <c r="E288" s="323">
        <v>0.15</v>
      </c>
      <c r="F288" s="323">
        <v>0.142</v>
      </c>
      <c r="G288" s="324">
        <v>0.144</v>
      </c>
    </row>
    <row r="289" spans="1:7">
      <c r="A289" s="333" t="s">
        <v>288</v>
      </c>
      <c r="B289" s="322" t="s">
        <v>2383</v>
      </c>
      <c r="C289" s="323">
        <v>0.143</v>
      </c>
      <c r="D289" s="323">
        <v>0.143</v>
      </c>
      <c r="E289" s="323">
        <v>0.148</v>
      </c>
      <c r="F289" s="323">
        <v>0.144</v>
      </c>
      <c r="G289" s="324">
        <v>0.144</v>
      </c>
    </row>
    <row r="290" spans="1:7">
      <c r="A290" s="333" t="s">
        <v>288</v>
      </c>
      <c r="B290" s="322" t="s">
        <v>2393</v>
      </c>
      <c r="C290" s="323">
        <v>0.148</v>
      </c>
      <c r="D290" s="323">
        <v>0.149</v>
      </c>
      <c r="E290" s="323">
        <v>0.15</v>
      </c>
      <c r="F290" s="323">
        <v>0.127</v>
      </c>
      <c r="G290" s="324">
        <v>0.15</v>
      </c>
    </row>
    <row r="291" spans="1:7">
      <c r="A291" s="333" t="s">
        <v>288</v>
      </c>
      <c r="B291" s="322" t="s">
        <v>2403</v>
      </c>
      <c r="C291" s="323">
        <v>0.15</v>
      </c>
      <c r="D291" s="323">
        <v>0.15</v>
      </c>
      <c r="E291" s="323">
        <v>0.15</v>
      </c>
      <c r="F291" s="323">
        <v>0.149</v>
      </c>
      <c r="G291" s="324">
        <v>0.15</v>
      </c>
    </row>
    <row r="292" spans="1:7">
      <c r="A292" s="333" t="s">
        <v>288</v>
      </c>
      <c r="B292" s="322" t="s">
        <v>2413</v>
      </c>
      <c r="C292" s="323">
        <v>0.15</v>
      </c>
      <c r="D292" s="323">
        <v>0.15</v>
      </c>
      <c r="E292" s="323">
        <v>0.15</v>
      </c>
      <c r="F292" s="323">
        <v>0.144</v>
      </c>
      <c r="G292" s="324">
        <v>0.15</v>
      </c>
    </row>
    <row r="293" spans="1:7">
      <c r="A293" s="333" t="s">
        <v>288</v>
      </c>
      <c r="B293" s="322" t="s">
        <v>2423</v>
      </c>
      <c r="C293" s="323">
        <v>0.15</v>
      </c>
      <c r="D293" s="323">
        <v>0.15</v>
      </c>
      <c r="E293" s="323">
        <v>0.15</v>
      </c>
      <c r="F293" s="323">
        <v>0.145</v>
      </c>
      <c r="G293" s="324">
        <v>0.15</v>
      </c>
    </row>
    <row r="294" spans="1:7">
      <c r="A294" s="333" t="s">
        <v>288</v>
      </c>
      <c r="B294" s="322" t="s">
        <v>2433</v>
      </c>
      <c r="C294" s="323">
        <v>0.15</v>
      </c>
      <c r="D294" s="323">
        <v>0.15</v>
      </c>
      <c r="E294" s="323">
        <v>0.15</v>
      </c>
      <c r="F294" s="323">
        <v>0.149</v>
      </c>
      <c r="G294" s="324">
        <v>0.15</v>
      </c>
    </row>
    <row r="295" spans="1:7">
      <c r="A295" s="333" t="s">
        <v>288</v>
      </c>
      <c r="B295" s="322" t="s">
        <v>2443</v>
      </c>
      <c r="C295" s="323">
        <v>0.15</v>
      </c>
      <c r="D295" s="323">
        <v>0.15</v>
      </c>
      <c r="E295" s="323">
        <v>0.15</v>
      </c>
      <c r="F295" s="323">
        <v>0.148</v>
      </c>
      <c r="G295" s="324">
        <v>0.15</v>
      </c>
    </row>
    <row r="296" spans="1:7">
      <c r="A296" s="333" t="s">
        <v>288</v>
      </c>
      <c r="B296" s="322" t="s">
        <v>2453</v>
      </c>
      <c r="C296" s="323">
        <v>0.15</v>
      </c>
      <c r="D296" s="323">
        <v>0.15</v>
      </c>
      <c r="E296" s="323">
        <v>0.15</v>
      </c>
      <c r="F296" s="323">
        <v>0.144</v>
      </c>
      <c r="G296" s="324">
        <v>0.15</v>
      </c>
    </row>
    <row r="297" spans="1:7">
      <c r="A297" s="333" t="s">
        <v>288</v>
      </c>
      <c r="B297" s="322" t="s">
        <v>2462</v>
      </c>
      <c r="C297" s="323">
        <v>0.15</v>
      </c>
      <c r="D297" s="323">
        <v>0.15</v>
      </c>
      <c r="E297" s="323">
        <v>0.15</v>
      </c>
      <c r="F297" s="323">
        <v>0.145</v>
      </c>
      <c r="G297" s="324">
        <v>0.15</v>
      </c>
    </row>
    <row r="298" spans="1:7">
      <c r="A298" s="333" t="s">
        <v>288</v>
      </c>
      <c r="B298" s="322" t="s">
        <v>2470</v>
      </c>
      <c r="C298" s="323">
        <v>0.15</v>
      </c>
      <c r="D298" s="323">
        <v>0.15</v>
      </c>
      <c r="E298" s="323">
        <v>0.15</v>
      </c>
      <c r="F298" s="323">
        <v>0.15</v>
      </c>
      <c r="G298" s="324">
        <v>0.15</v>
      </c>
    </row>
    <row r="299" spans="1:7">
      <c r="A299" s="333" t="s">
        <v>288</v>
      </c>
      <c r="B299" s="342" t="s">
        <v>2478</v>
      </c>
      <c r="C299" s="323">
        <v>0.15</v>
      </c>
      <c r="D299" s="323">
        <v>0.15</v>
      </c>
      <c r="E299" s="323">
        <v>0.15</v>
      </c>
      <c r="F299" s="323">
        <v>0.145</v>
      </c>
      <c r="G299" s="324">
        <v>0.15</v>
      </c>
    </row>
    <row r="300" spans="1:7">
      <c r="A300" s="333" t="s">
        <v>288</v>
      </c>
      <c r="B300" s="342" t="s">
        <v>2486</v>
      </c>
      <c r="C300" s="323">
        <v>0.15</v>
      </c>
      <c r="D300" s="323">
        <v>0.15</v>
      </c>
      <c r="E300" s="323">
        <v>0.15</v>
      </c>
      <c r="F300" s="323">
        <v>0.146</v>
      </c>
      <c r="G300" s="324">
        <v>0.15</v>
      </c>
    </row>
    <row r="301" spans="1:7">
      <c r="A301" s="333" t="s">
        <v>288</v>
      </c>
      <c r="B301" s="342" t="s">
        <v>2494</v>
      </c>
      <c r="C301" s="323">
        <v>0.126</v>
      </c>
      <c r="D301" s="323">
        <v>0.124</v>
      </c>
      <c r="E301" s="323">
        <v>0.141</v>
      </c>
      <c r="F301" s="323">
        <v>0.144</v>
      </c>
      <c r="G301" s="324">
        <v>0.13</v>
      </c>
    </row>
    <row r="302" spans="1:7">
      <c r="A302" s="333" t="s">
        <v>288</v>
      </c>
      <c r="B302" s="322" t="s">
        <v>2501</v>
      </c>
      <c r="C302" s="323">
        <v>0.15</v>
      </c>
      <c r="D302" s="323">
        <v>0.15</v>
      </c>
      <c r="E302" s="323">
        <v>0.15</v>
      </c>
      <c r="F302" s="323">
        <v>0.147</v>
      </c>
      <c r="G302" s="324">
        <v>0.15</v>
      </c>
    </row>
    <row r="303" spans="1:7">
      <c r="A303" s="333" t="s">
        <v>288</v>
      </c>
      <c r="B303" s="322" t="s">
        <v>2508</v>
      </c>
      <c r="C303" s="323">
        <v>0.15</v>
      </c>
      <c r="D303" s="323">
        <v>0.15</v>
      </c>
      <c r="E303" s="323">
        <v>0.15</v>
      </c>
      <c r="F303" s="323">
        <v>0.142</v>
      </c>
      <c r="G303" s="324">
        <v>0.15</v>
      </c>
    </row>
    <row r="304" spans="1:7">
      <c r="A304" s="333" t="s">
        <v>288</v>
      </c>
      <c r="B304" s="322" t="s">
        <v>2515</v>
      </c>
      <c r="C304" s="323">
        <v>0.15</v>
      </c>
      <c r="D304" s="323">
        <v>0.15</v>
      </c>
      <c r="E304" s="323">
        <v>0.15</v>
      </c>
      <c r="F304" s="323">
        <v>0.145</v>
      </c>
      <c r="G304" s="324">
        <v>0.15</v>
      </c>
    </row>
    <row r="305" spans="1:7">
      <c r="A305" s="333" t="s">
        <v>288</v>
      </c>
      <c r="B305" s="322" t="s">
        <v>2522</v>
      </c>
      <c r="C305" s="323">
        <v>0.15</v>
      </c>
      <c r="D305" s="323">
        <v>0.15</v>
      </c>
      <c r="E305" s="323">
        <v>0.15</v>
      </c>
      <c r="F305" s="323">
        <v>0.111</v>
      </c>
      <c r="G305" s="324">
        <v>0.15</v>
      </c>
    </row>
    <row r="306" spans="1:7">
      <c r="A306" s="333" t="s">
        <v>288</v>
      </c>
      <c r="B306" s="322" t="s">
        <v>2529</v>
      </c>
      <c r="C306" s="323">
        <v>0.15</v>
      </c>
      <c r="D306" s="323">
        <v>0.15</v>
      </c>
      <c r="E306" s="323">
        <v>0.15</v>
      </c>
      <c r="F306" s="323">
        <v>0.126</v>
      </c>
      <c r="G306" s="324">
        <v>0.15</v>
      </c>
    </row>
    <row r="307" spans="1:7">
      <c r="A307" s="333" t="s">
        <v>288</v>
      </c>
      <c r="B307" s="322" t="s">
        <v>2536</v>
      </c>
      <c r="C307" s="323">
        <v>0.15</v>
      </c>
      <c r="D307" s="323">
        <v>0.15</v>
      </c>
      <c r="E307" s="323">
        <v>0.15</v>
      </c>
      <c r="F307" s="323">
        <v>0.12</v>
      </c>
      <c r="G307" s="324">
        <v>0.15</v>
      </c>
    </row>
    <row r="308" spans="1:7">
      <c r="A308" s="333" t="s">
        <v>288</v>
      </c>
      <c r="B308" s="322" t="s">
        <v>2543</v>
      </c>
      <c r="C308" s="323">
        <v>0.15</v>
      </c>
      <c r="D308" s="323">
        <v>0.15</v>
      </c>
      <c r="E308" s="323">
        <v>0.15</v>
      </c>
      <c r="F308" s="323">
        <v>0.13</v>
      </c>
      <c r="G308" s="324">
        <v>0.15</v>
      </c>
    </row>
    <row r="309" spans="1:7">
      <c r="A309" s="333" t="s">
        <v>288</v>
      </c>
      <c r="B309" s="322" t="s">
        <v>2548</v>
      </c>
      <c r="C309" s="323">
        <v>0.15</v>
      </c>
      <c r="D309" s="323">
        <v>0.15</v>
      </c>
      <c r="E309" s="323">
        <v>0.15</v>
      </c>
      <c r="F309" s="323">
        <v>0.141</v>
      </c>
      <c r="G309" s="324">
        <v>0.15</v>
      </c>
    </row>
    <row r="310" spans="1:7">
      <c r="A310" s="333" t="s">
        <v>288</v>
      </c>
      <c r="B310" s="322" t="s">
        <v>2553</v>
      </c>
      <c r="C310" s="323">
        <v>0.15</v>
      </c>
      <c r="D310" s="323">
        <v>0.15</v>
      </c>
      <c r="E310" s="323">
        <v>0.15</v>
      </c>
      <c r="F310" s="323">
        <v>0.15</v>
      </c>
      <c r="G310" s="324">
        <v>0.15</v>
      </c>
    </row>
    <row r="311" spans="1:7">
      <c r="A311" s="333" t="s">
        <v>288</v>
      </c>
      <c r="B311" s="322" t="s">
        <v>2558</v>
      </c>
      <c r="C311" s="323">
        <v>0.132</v>
      </c>
      <c r="D311" s="323">
        <v>0.133</v>
      </c>
      <c r="E311" s="323">
        <v>0.145</v>
      </c>
      <c r="F311" s="323">
        <v>0.142</v>
      </c>
      <c r="G311" s="324">
        <v>0.14</v>
      </c>
    </row>
    <row r="312" spans="1:7">
      <c r="A312" s="333" t="s">
        <v>288</v>
      </c>
      <c r="B312" s="322" t="s">
        <v>2563</v>
      </c>
      <c r="C312" s="323">
        <v>0.138</v>
      </c>
      <c r="D312" s="323">
        <v>0.14</v>
      </c>
      <c r="E312" s="323">
        <v>0.146</v>
      </c>
      <c r="F312" s="323">
        <v>0.149</v>
      </c>
      <c r="G312" s="324">
        <v>0.142</v>
      </c>
    </row>
    <row r="313" spans="1:7">
      <c r="A313" s="333" t="s">
        <v>288</v>
      </c>
      <c r="B313" s="322" t="s">
        <v>2568</v>
      </c>
      <c r="C313" s="323">
        <v>0.125</v>
      </c>
      <c r="D313" s="323">
        <v>0.127</v>
      </c>
      <c r="E313" s="323">
        <v>0.144</v>
      </c>
      <c r="F313" s="323">
        <v>0.115</v>
      </c>
      <c r="G313" s="324">
        <v>0.136</v>
      </c>
    </row>
    <row r="314" spans="1:7">
      <c r="A314" s="333" t="s">
        <v>288</v>
      </c>
      <c r="B314" s="322" t="s">
        <v>2573</v>
      </c>
      <c r="C314" s="339"/>
      <c r="D314" s="339"/>
      <c r="E314" s="339"/>
      <c r="F314" s="323">
        <v>0.05</v>
      </c>
      <c r="G314" s="340"/>
    </row>
    <row r="315" spans="1:7">
      <c r="A315" s="333" t="s">
        <v>288</v>
      </c>
      <c r="B315" s="322" t="s">
        <v>2578</v>
      </c>
      <c r="C315" s="339"/>
      <c r="D315" s="339"/>
      <c r="E315" s="339"/>
      <c r="F315" s="323">
        <v>0.05</v>
      </c>
      <c r="G315" s="340"/>
    </row>
    <row r="316" spans="1:7">
      <c r="A316" s="333" t="s">
        <v>288</v>
      </c>
      <c r="B316" s="322" t="s">
        <v>2583</v>
      </c>
      <c r="C316" s="334"/>
      <c r="D316" s="334"/>
      <c r="E316" s="334"/>
      <c r="F316" s="323">
        <v>0.05</v>
      </c>
      <c r="G316" s="340"/>
    </row>
    <row r="317" spans="1:7">
      <c r="A317" s="333" t="s">
        <v>288</v>
      </c>
      <c r="B317" s="322" t="s">
        <v>2587</v>
      </c>
      <c r="C317" s="334"/>
      <c r="D317" s="334"/>
      <c r="E317" s="334"/>
      <c r="F317" s="323">
        <v>0.05</v>
      </c>
      <c r="G317" s="340"/>
    </row>
    <row r="318" spans="1:7">
      <c r="A318" s="333" t="s">
        <v>288</v>
      </c>
      <c r="B318" s="322" t="s">
        <v>2591</v>
      </c>
      <c r="C318" s="334"/>
      <c r="D318" s="334"/>
      <c r="E318" s="334"/>
      <c r="F318" s="323">
        <v>0.05</v>
      </c>
      <c r="G318" s="340"/>
    </row>
    <row r="319" spans="1:7">
      <c r="A319" s="333" t="s">
        <v>288</v>
      </c>
      <c r="B319" s="322" t="s">
        <v>2595</v>
      </c>
      <c r="C319" s="334"/>
      <c r="D319" s="334"/>
      <c r="E319" s="334"/>
      <c r="F319" s="323">
        <v>0.05</v>
      </c>
      <c r="G319" s="340"/>
    </row>
    <row r="320" spans="1:7">
      <c r="A320" s="333" t="s">
        <v>288</v>
      </c>
      <c r="B320" s="322" t="s">
        <v>2598</v>
      </c>
      <c r="C320" s="334"/>
      <c r="D320" s="334"/>
      <c r="E320" s="334"/>
      <c r="F320" s="323">
        <v>0.05</v>
      </c>
      <c r="G320" s="340"/>
    </row>
    <row r="321" spans="1:7">
      <c r="A321" s="333" t="s">
        <v>288</v>
      </c>
      <c r="B321" s="322" t="s">
        <v>2600</v>
      </c>
      <c r="C321" s="334"/>
      <c r="D321" s="334"/>
      <c r="E321" s="334"/>
      <c r="F321" s="323">
        <v>0.05</v>
      </c>
      <c r="G321" s="340"/>
    </row>
    <row r="322" spans="1:7">
      <c r="A322" s="333" t="s">
        <v>288</v>
      </c>
      <c r="B322" s="322" t="s">
        <v>2602</v>
      </c>
      <c r="C322" s="334"/>
      <c r="D322" s="334"/>
      <c r="E322" s="334"/>
      <c r="F322" s="323">
        <v>0.05</v>
      </c>
      <c r="G322" s="340"/>
    </row>
    <row r="323" spans="1:7">
      <c r="A323" s="333" t="s">
        <v>288</v>
      </c>
      <c r="B323" s="322" t="s">
        <v>2604</v>
      </c>
      <c r="C323" s="334"/>
      <c r="D323" s="334"/>
      <c r="E323" s="334"/>
      <c r="F323" s="323">
        <v>0.05</v>
      </c>
      <c r="G323" s="340"/>
    </row>
    <row r="324" spans="1:7">
      <c r="A324" s="333" t="s">
        <v>288</v>
      </c>
      <c r="B324" s="322" t="s">
        <v>2606</v>
      </c>
      <c r="C324" s="334"/>
      <c r="D324" s="334"/>
      <c r="E324" s="334"/>
      <c r="F324" s="323">
        <v>0.05</v>
      </c>
      <c r="G324" s="340"/>
    </row>
    <row r="325" spans="1:7">
      <c r="A325" s="333" t="s">
        <v>288</v>
      </c>
      <c r="B325" s="322" t="s">
        <v>2608</v>
      </c>
      <c r="C325" s="334"/>
      <c r="D325" s="334"/>
      <c r="E325" s="334"/>
      <c r="F325" s="323">
        <v>0.05</v>
      </c>
      <c r="G325" s="340"/>
    </row>
    <row r="326" ht="14.25" spans="1:7">
      <c r="A326" s="336" t="s">
        <v>288</v>
      </c>
      <c r="B326" s="326" t="s">
        <v>2610</v>
      </c>
      <c r="C326" s="328"/>
      <c r="D326" s="328"/>
      <c r="E326" s="328"/>
      <c r="F326" s="327">
        <v>0.05</v>
      </c>
      <c r="G326" s="341"/>
    </row>
    <row r="327" spans="1:7">
      <c r="A327" s="332" t="s">
        <v>292</v>
      </c>
      <c r="B327" s="318" t="s">
        <v>2250</v>
      </c>
      <c r="C327" s="319">
        <v>0.15</v>
      </c>
      <c r="D327" s="319">
        <v>0.15</v>
      </c>
      <c r="E327" s="319">
        <v>0.15</v>
      </c>
      <c r="F327" s="319">
        <v>0.15</v>
      </c>
      <c r="G327" s="320">
        <v>0.15</v>
      </c>
    </row>
    <row r="328" spans="1:7">
      <c r="A328" s="333" t="s">
        <v>292</v>
      </c>
      <c r="B328" s="322" t="s">
        <v>2263</v>
      </c>
      <c r="C328" s="323">
        <v>0.15</v>
      </c>
      <c r="D328" s="323">
        <v>0.15</v>
      </c>
      <c r="E328" s="323">
        <v>0.15</v>
      </c>
      <c r="F328" s="323">
        <v>0.126</v>
      </c>
      <c r="G328" s="324">
        <v>0.15</v>
      </c>
    </row>
    <row r="329" spans="1:7">
      <c r="A329" s="333" t="s">
        <v>292</v>
      </c>
      <c r="B329" s="322" t="s">
        <v>2277</v>
      </c>
      <c r="C329" s="323">
        <v>0.15</v>
      </c>
      <c r="D329" s="323">
        <v>0.15</v>
      </c>
      <c r="E329" s="323">
        <v>0.15</v>
      </c>
      <c r="F329" s="323">
        <v>0.15</v>
      </c>
      <c r="G329" s="324">
        <v>0.15</v>
      </c>
    </row>
    <row r="330" spans="1:7">
      <c r="A330" s="333" t="s">
        <v>292</v>
      </c>
      <c r="B330" s="322" t="s">
        <v>2289</v>
      </c>
      <c r="C330" s="323">
        <v>0.15</v>
      </c>
      <c r="D330" s="323">
        <v>0.15</v>
      </c>
      <c r="E330" s="323">
        <v>0.15</v>
      </c>
      <c r="F330" s="323">
        <v>0.15</v>
      </c>
      <c r="G330" s="324">
        <v>0.15</v>
      </c>
    </row>
    <row r="331" spans="1:7">
      <c r="A331" s="333" t="s">
        <v>292</v>
      </c>
      <c r="B331" s="322" t="s">
        <v>2301</v>
      </c>
      <c r="C331" s="323">
        <v>0.15</v>
      </c>
      <c r="D331" s="323">
        <v>0.15</v>
      </c>
      <c r="E331" s="323">
        <v>0.15</v>
      </c>
      <c r="F331" s="323">
        <v>0.15</v>
      </c>
      <c r="G331" s="324">
        <v>0.15</v>
      </c>
    </row>
    <row r="332" spans="1:7">
      <c r="A332" s="333" t="s">
        <v>292</v>
      </c>
      <c r="B332" s="322" t="s">
        <v>2312</v>
      </c>
      <c r="C332" s="323">
        <v>0.15</v>
      </c>
      <c r="D332" s="323">
        <v>0.15</v>
      </c>
      <c r="E332" s="323">
        <v>0.15</v>
      </c>
      <c r="F332" s="323">
        <v>0.15</v>
      </c>
      <c r="G332" s="324">
        <v>0.15</v>
      </c>
    </row>
    <row r="333" spans="1:7">
      <c r="A333" s="333" t="s">
        <v>292</v>
      </c>
      <c r="B333" s="322" t="s">
        <v>2323</v>
      </c>
      <c r="C333" s="323">
        <v>0.149</v>
      </c>
      <c r="D333" s="323">
        <v>0.149</v>
      </c>
      <c r="E333" s="323">
        <v>0.15</v>
      </c>
      <c r="F333" s="323">
        <v>0.116</v>
      </c>
      <c r="G333" s="324">
        <v>0.15</v>
      </c>
    </row>
    <row r="334" spans="1:7">
      <c r="A334" s="333" t="s">
        <v>292</v>
      </c>
      <c r="B334" s="322" t="s">
        <v>2334</v>
      </c>
      <c r="C334" s="323">
        <v>0.15</v>
      </c>
      <c r="D334" s="323">
        <v>0.15</v>
      </c>
      <c r="E334" s="323">
        <v>0.15</v>
      </c>
      <c r="F334" s="323">
        <v>0.13</v>
      </c>
      <c r="G334" s="324">
        <v>0.15</v>
      </c>
    </row>
    <row r="335" spans="1:7">
      <c r="A335" s="333" t="s">
        <v>292</v>
      </c>
      <c r="B335" s="322" t="s">
        <v>2344</v>
      </c>
      <c r="C335" s="323">
        <v>0.15</v>
      </c>
      <c r="D335" s="323">
        <v>0.15</v>
      </c>
      <c r="E335" s="323">
        <v>0.15</v>
      </c>
      <c r="F335" s="323">
        <v>0.144</v>
      </c>
      <c r="G335" s="324">
        <v>0.15</v>
      </c>
    </row>
    <row r="336" spans="1:7">
      <c r="A336" s="333" t="s">
        <v>292</v>
      </c>
      <c r="B336" s="322" t="s">
        <v>2354</v>
      </c>
      <c r="C336" s="323">
        <v>0.15</v>
      </c>
      <c r="D336" s="323">
        <v>0.15</v>
      </c>
      <c r="E336" s="323">
        <v>0.15</v>
      </c>
      <c r="F336" s="323">
        <v>0.142</v>
      </c>
      <c r="G336" s="324">
        <v>0.15</v>
      </c>
    </row>
    <row r="337" spans="1:7">
      <c r="A337" s="333" t="s">
        <v>292</v>
      </c>
      <c r="B337" s="322" t="s">
        <v>2364</v>
      </c>
      <c r="C337" s="323">
        <v>0.15</v>
      </c>
      <c r="D337" s="323">
        <v>0.15</v>
      </c>
      <c r="E337" s="323">
        <v>0.15</v>
      </c>
      <c r="F337" s="323">
        <v>0.145</v>
      </c>
      <c r="G337" s="324">
        <v>0.15</v>
      </c>
    </row>
    <row r="338" spans="1:7">
      <c r="A338" s="333" t="s">
        <v>292</v>
      </c>
      <c r="B338" s="322" t="s">
        <v>2374</v>
      </c>
      <c r="C338" s="323">
        <v>0.15</v>
      </c>
      <c r="D338" s="323">
        <v>0.15</v>
      </c>
      <c r="E338" s="323">
        <v>0.15</v>
      </c>
      <c r="F338" s="323">
        <v>0.15</v>
      </c>
      <c r="G338" s="324">
        <v>0.15</v>
      </c>
    </row>
    <row r="339" spans="1:7">
      <c r="A339" s="333" t="s">
        <v>292</v>
      </c>
      <c r="B339" s="322" t="s">
        <v>2384</v>
      </c>
      <c r="C339" s="323">
        <v>0.15</v>
      </c>
      <c r="D339" s="323">
        <v>0.15</v>
      </c>
      <c r="E339" s="323">
        <v>0.15</v>
      </c>
      <c r="F339" s="323">
        <v>0.147</v>
      </c>
      <c r="G339" s="324">
        <v>0.15</v>
      </c>
    </row>
    <row r="340" spans="1:7">
      <c r="A340" s="333" t="s">
        <v>292</v>
      </c>
      <c r="B340" s="322" t="s">
        <v>2394</v>
      </c>
      <c r="C340" s="323">
        <v>0.146</v>
      </c>
      <c r="D340" s="323">
        <v>0.146</v>
      </c>
      <c r="E340" s="323">
        <v>0.15</v>
      </c>
      <c r="F340" s="323">
        <v>0.141</v>
      </c>
      <c r="G340" s="324">
        <v>0.147</v>
      </c>
    </row>
    <row r="341" spans="1:7">
      <c r="A341" s="333" t="s">
        <v>292</v>
      </c>
      <c r="B341" s="322" t="s">
        <v>2404</v>
      </c>
      <c r="C341" s="323">
        <v>0.126</v>
      </c>
      <c r="D341" s="323">
        <v>0.124</v>
      </c>
      <c r="E341" s="323">
        <v>0.141</v>
      </c>
      <c r="F341" s="323">
        <v>0.144</v>
      </c>
      <c r="G341" s="324">
        <v>0.13</v>
      </c>
    </row>
    <row r="342" spans="1:7">
      <c r="A342" s="333" t="s">
        <v>292</v>
      </c>
      <c r="B342" s="322" t="s">
        <v>2414</v>
      </c>
      <c r="C342" s="323">
        <v>0.15</v>
      </c>
      <c r="D342" s="323">
        <v>0.15</v>
      </c>
      <c r="E342" s="323">
        <v>0.15</v>
      </c>
      <c r="F342" s="323">
        <v>0.144</v>
      </c>
      <c r="G342" s="324">
        <v>0.15</v>
      </c>
    </row>
    <row r="343" spans="1:7">
      <c r="A343" s="333" t="s">
        <v>292</v>
      </c>
      <c r="B343" s="322" t="s">
        <v>2424</v>
      </c>
      <c r="C343" s="323">
        <v>0.15</v>
      </c>
      <c r="D343" s="323">
        <v>0.15</v>
      </c>
      <c r="E343" s="323">
        <v>0.15</v>
      </c>
      <c r="F343" s="323">
        <v>0.128</v>
      </c>
      <c r="G343" s="324">
        <v>0.15</v>
      </c>
    </row>
    <row r="344" spans="1:7">
      <c r="A344" s="333" t="s">
        <v>292</v>
      </c>
      <c r="B344" s="322" t="s">
        <v>2434</v>
      </c>
      <c r="C344" s="323">
        <v>0.15</v>
      </c>
      <c r="D344" s="323">
        <v>0.15</v>
      </c>
      <c r="E344" s="323">
        <v>0.15</v>
      </c>
      <c r="F344" s="323">
        <v>0.148</v>
      </c>
      <c r="G344" s="324">
        <v>0.15</v>
      </c>
    </row>
    <row r="345" spans="1:7">
      <c r="A345" s="333" t="s">
        <v>292</v>
      </c>
      <c r="B345" s="322" t="s">
        <v>2444</v>
      </c>
      <c r="C345" s="323">
        <v>0.15</v>
      </c>
      <c r="D345" s="323">
        <v>0.15</v>
      </c>
      <c r="E345" s="323">
        <v>0.15</v>
      </c>
      <c r="F345" s="323">
        <v>0.138</v>
      </c>
      <c r="G345" s="324">
        <v>0.15</v>
      </c>
    </row>
    <row r="346" spans="1:7">
      <c r="A346" s="333" t="s">
        <v>292</v>
      </c>
      <c r="B346" s="322" t="s">
        <v>2454</v>
      </c>
      <c r="C346" s="323">
        <v>0.15</v>
      </c>
      <c r="D346" s="323">
        <v>0.15</v>
      </c>
      <c r="E346" s="323">
        <v>0.15</v>
      </c>
      <c r="F346" s="323">
        <v>0.144</v>
      </c>
      <c r="G346" s="324">
        <v>0.15</v>
      </c>
    </row>
    <row r="347" spans="1:7">
      <c r="A347" s="333" t="s">
        <v>292</v>
      </c>
      <c r="B347" s="322" t="s">
        <v>2463</v>
      </c>
      <c r="C347" s="323">
        <v>0.15</v>
      </c>
      <c r="D347" s="323">
        <v>0.15</v>
      </c>
      <c r="E347" s="323">
        <v>0.15</v>
      </c>
      <c r="F347" s="323">
        <v>0.146</v>
      </c>
      <c r="G347" s="324">
        <v>0.15</v>
      </c>
    </row>
    <row r="348" spans="1:7">
      <c r="A348" s="333" t="s">
        <v>292</v>
      </c>
      <c r="B348" s="322" t="s">
        <v>2471</v>
      </c>
      <c r="C348" s="323">
        <v>0.15</v>
      </c>
      <c r="D348" s="323">
        <v>0.15</v>
      </c>
      <c r="E348" s="323">
        <v>0.15</v>
      </c>
      <c r="F348" s="323">
        <v>0.144</v>
      </c>
      <c r="G348" s="324">
        <v>0.15</v>
      </c>
    </row>
    <row r="349" spans="1:7">
      <c r="A349" s="333" t="s">
        <v>292</v>
      </c>
      <c r="B349" s="322" t="s">
        <v>2479</v>
      </c>
      <c r="C349" s="323">
        <v>0.15</v>
      </c>
      <c r="D349" s="323">
        <v>0.15</v>
      </c>
      <c r="E349" s="323">
        <v>0.15</v>
      </c>
      <c r="F349" s="323">
        <v>0.15</v>
      </c>
      <c r="G349" s="324">
        <v>0.15</v>
      </c>
    </row>
    <row r="350" spans="1:7">
      <c r="A350" s="333" t="s">
        <v>292</v>
      </c>
      <c r="B350" s="322" t="s">
        <v>2487</v>
      </c>
      <c r="C350" s="323">
        <v>0.15</v>
      </c>
      <c r="D350" s="323">
        <v>0.15</v>
      </c>
      <c r="E350" s="323">
        <v>0.15</v>
      </c>
      <c r="F350" s="323">
        <v>0.147</v>
      </c>
      <c r="G350" s="324">
        <v>0.15</v>
      </c>
    </row>
    <row r="351" spans="1:7">
      <c r="A351" s="333" t="s">
        <v>292</v>
      </c>
      <c r="B351" s="322" t="s">
        <v>2495</v>
      </c>
      <c r="C351" s="323">
        <v>0.15</v>
      </c>
      <c r="D351" s="323">
        <v>0.15</v>
      </c>
      <c r="E351" s="323">
        <v>0.15</v>
      </c>
      <c r="F351" s="323">
        <v>0.13</v>
      </c>
      <c r="G351" s="324">
        <v>0.15</v>
      </c>
    </row>
    <row r="352" spans="1:7">
      <c r="A352" s="333" t="s">
        <v>292</v>
      </c>
      <c r="B352" s="322" t="s">
        <v>2502</v>
      </c>
      <c r="C352" s="323">
        <v>0.15</v>
      </c>
      <c r="D352" s="323">
        <v>0.15</v>
      </c>
      <c r="E352" s="323">
        <v>0.15</v>
      </c>
      <c r="F352" s="323">
        <v>0.146</v>
      </c>
      <c r="G352" s="324">
        <v>0.15</v>
      </c>
    </row>
    <row r="353" spans="1:7">
      <c r="A353" s="333" t="s">
        <v>292</v>
      </c>
      <c r="B353" s="322" t="s">
        <v>2509</v>
      </c>
      <c r="C353" s="323">
        <v>0.15</v>
      </c>
      <c r="D353" s="323">
        <v>0.15</v>
      </c>
      <c r="E353" s="323">
        <v>0.15</v>
      </c>
      <c r="F353" s="323">
        <v>0.145</v>
      </c>
      <c r="G353" s="324">
        <v>0.15</v>
      </c>
    </row>
    <row r="354" spans="1:7">
      <c r="A354" s="333" t="s">
        <v>292</v>
      </c>
      <c r="B354" s="322" t="s">
        <v>2516</v>
      </c>
      <c r="C354" s="323">
        <v>0.15</v>
      </c>
      <c r="D354" s="323">
        <v>0.15</v>
      </c>
      <c r="E354" s="323">
        <v>0.15</v>
      </c>
      <c r="F354" s="323">
        <v>0.141</v>
      </c>
      <c r="G354" s="324">
        <v>0.15</v>
      </c>
    </row>
    <row r="355" spans="1:7">
      <c r="A355" s="333" t="s">
        <v>292</v>
      </c>
      <c r="B355" s="322" t="s">
        <v>2523</v>
      </c>
      <c r="C355" s="323">
        <v>0.15</v>
      </c>
      <c r="D355" s="323">
        <v>0.15</v>
      </c>
      <c r="E355" s="323">
        <v>0.15</v>
      </c>
      <c r="F355" s="323">
        <v>0.15</v>
      </c>
      <c r="G355" s="324">
        <v>0.15</v>
      </c>
    </row>
    <row r="356" spans="1:7">
      <c r="A356" s="333" t="s">
        <v>292</v>
      </c>
      <c r="B356" s="322" t="s">
        <v>2530</v>
      </c>
      <c r="C356" s="323">
        <v>0.15</v>
      </c>
      <c r="D356" s="323">
        <v>0.15</v>
      </c>
      <c r="E356" s="323">
        <v>0.15</v>
      </c>
      <c r="F356" s="323">
        <v>0.15</v>
      </c>
      <c r="G356" s="324">
        <v>0.15</v>
      </c>
    </row>
    <row r="357" ht="14.25" spans="1:7">
      <c r="A357" s="336" t="s">
        <v>292</v>
      </c>
      <c r="B357" s="326" t="s">
        <v>2537</v>
      </c>
      <c r="C357" s="327">
        <v>0.126</v>
      </c>
      <c r="D357" s="327">
        <v>0.127</v>
      </c>
      <c r="E357" s="327">
        <v>0.143</v>
      </c>
      <c r="F357" s="327">
        <v>0.125</v>
      </c>
      <c r="G357" s="329">
        <v>0.129</v>
      </c>
    </row>
    <row r="358" spans="1:7">
      <c r="A358" s="332" t="s">
        <v>296</v>
      </c>
      <c r="B358" s="318" t="s">
        <v>2251</v>
      </c>
      <c r="C358" s="319">
        <v>0.15</v>
      </c>
      <c r="D358" s="319">
        <v>0.15</v>
      </c>
      <c r="E358" s="319">
        <v>0.15</v>
      </c>
      <c r="F358" s="319">
        <v>0.15</v>
      </c>
      <c r="G358" s="320">
        <v>0.15</v>
      </c>
    </row>
    <row r="359" spans="1:7">
      <c r="A359" s="333" t="s">
        <v>296</v>
      </c>
      <c r="B359" s="322" t="s">
        <v>2264</v>
      </c>
      <c r="C359" s="323">
        <v>0.1</v>
      </c>
      <c r="D359" s="323">
        <v>0.1</v>
      </c>
      <c r="E359" s="323">
        <v>0.1</v>
      </c>
      <c r="F359" s="323">
        <v>0.1</v>
      </c>
      <c r="G359" s="324">
        <v>0.1</v>
      </c>
    </row>
    <row r="360" spans="1:7">
      <c r="A360" s="333" t="s">
        <v>296</v>
      </c>
      <c r="B360" s="322" t="s">
        <v>2278</v>
      </c>
      <c r="C360" s="323">
        <v>0.15</v>
      </c>
      <c r="D360" s="323">
        <v>0.15</v>
      </c>
      <c r="E360" s="323">
        <v>0.15</v>
      </c>
      <c r="F360" s="323">
        <v>0.149</v>
      </c>
      <c r="G360" s="324">
        <v>0.15</v>
      </c>
    </row>
    <row r="361" spans="1:7">
      <c r="A361" s="333" t="s">
        <v>296</v>
      </c>
      <c r="B361" s="322" t="s">
        <v>2290</v>
      </c>
      <c r="C361" s="323">
        <v>0.15</v>
      </c>
      <c r="D361" s="323">
        <v>0.15</v>
      </c>
      <c r="E361" s="323">
        <v>0.15</v>
      </c>
      <c r="F361" s="323">
        <v>0.115</v>
      </c>
      <c r="G361" s="324">
        <v>0.15</v>
      </c>
    </row>
    <row r="362" spans="1:7">
      <c r="A362" s="333" t="s">
        <v>296</v>
      </c>
      <c r="B362" s="322" t="s">
        <v>2302</v>
      </c>
      <c r="C362" s="323">
        <v>0.15</v>
      </c>
      <c r="D362" s="323">
        <v>0.15</v>
      </c>
      <c r="E362" s="323">
        <v>0.15</v>
      </c>
      <c r="F362" s="323">
        <v>0.106</v>
      </c>
      <c r="G362" s="324">
        <v>0.15</v>
      </c>
    </row>
    <row r="363" spans="1:7">
      <c r="A363" s="333" t="s">
        <v>296</v>
      </c>
      <c r="B363" s="322" t="s">
        <v>2313</v>
      </c>
      <c r="C363" s="323">
        <v>0.15</v>
      </c>
      <c r="D363" s="323">
        <v>0.15</v>
      </c>
      <c r="E363" s="323">
        <v>0.15</v>
      </c>
      <c r="F363" s="323">
        <v>0.147</v>
      </c>
      <c r="G363" s="324">
        <v>0.15</v>
      </c>
    </row>
    <row r="364" spans="1:7">
      <c r="A364" s="333" t="s">
        <v>296</v>
      </c>
      <c r="B364" s="322" t="s">
        <v>2324</v>
      </c>
      <c r="C364" s="323">
        <v>0.15</v>
      </c>
      <c r="D364" s="323">
        <v>0.15</v>
      </c>
      <c r="E364" s="323">
        <v>0.15</v>
      </c>
      <c r="F364" s="323">
        <v>0.148</v>
      </c>
      <c r="G364" s="324">
        <v>0.15</v>
      </c>
    </row>
    <row r="365" spans="1:7">
      <c r="A365" s="333" t="s">
        <v>296</v>
      </c>
      <c r="B365" s="322" t="s">
        <v>2335</v>
      </c>
      <c r="C365" s="323">
        <v>0.15</v>
      </c>
      <c r="D365" s="323">
        <v>0.15</v>
      </c>
      <c r="E365" s="323">
        <v>0.15</v>
      </c>
      <c r="F365" s="323">
        <v>0.15</v>
      </c>
      <c r="G365" s="324">
        <v>0.15</v>
      </c>
    </row>
    <row r="366" spans="1:7">
      <c r="A366" s="333" t="s">
        <v>296</v>
      </c>
      <c r="B366" s="322" t="s">
        <v>2345</v>
      </c>
      <c r="C366" s="323">
        <v>0.15</v>
      </c>
      <c r="D366" s="323">
        <v>0.15</v>
      </c>
      <c r="E366" s="323">
        <v>0.15</v>
      </c>
      <c r="F366" s="323">
        <v>0.15</v>
      </c>
      <c r="G366" s="324">
        <v>0.15</v>
      </c>
    </row>
    <row r="367" spans="1:7">
      <c r="A367" s="333" t="s">
        <v>296</v>
      </c>
      <c r="B367" s="322" t="s">
        <v>2355</v>
      </c>
      <c r="C367" s="323">
        <v>0.15</v>
      </c>
      <c r="D367" s="323">
        <v>0.15</v>
      </c>
      <c r="E367" s="323">
        <v>0.15</v>
      </c>
      <c r="F367" s="323">
        <v>0.147</v>
      </c>
      <c r="G367" s="324">
        <v>0.15</v>
      </c>
    </row>
    <row r="368" spans="1:7">
      <c r="A368" s="333" t="s">
        <v>296</v>
      </c>
      <c r="B368" s="322" t="s">
        <v>2365</v>
      </c>
      <c r="C368" s="323">
        <v>0.15</v>
      </c>
      <c r="D368" s="323">
        <v>0.15</v>
      </c>
      <c r="E368" s="323">
        <v>0.15</v>
      </c>
      <c r="F368" s="323">
        <v>0.136</v>
      </c>
      <c r="G368" s="324">
        <v>0.15</v>
      </c>
    </row>
    <row r="369" spans="1:7">
      <c r="A369" s="333" t="s">
        <v>296</v>
      </c>
      <c r="B369" s="322" t="s">
        <v>2375</v>
      </c>
      <c r="C369" s="323">
        <v>0.15</v>
      </c>
      <c r="D369" s="323">
        <v>0.15</v>
      </c>
      <c r="E369" s="323">
        <v>0.15</v>
      </c>
      <c r="F369" s="323">
        <v>0.144</v>
      </c>
      <c r="G369" s="324">
        <v>0.15</v>
      </c>
    </row>
    <row r="370" spans="1:7">
      <c r="A370" s="333" t="s">
        <v>296</v>
      </c>
      <c r="B370" s="322" t="s">
        <v>2385</v>
      </c>
      <c r="C370" s="323">
        <v>0.15</v>
      </c>
      <c r="D370" s="323">
        <v>0.15</v>
      </c>
      <c r="E370" s="323">
        <v>0.15</v>
      </c>
      <c r="F370" s="323">
        <v>0.146</v>
      </c>
      <c r="G370" s="324">
        <v>0.15</v>
      </c>
    </row>
    <row r="371" spans="1:7">
      <c r="A371" s="333" t="s">
        <v>296</v>
      </c>
      <c r="B371" s="322" t="s">
        <v>2395</v>
      </c>
      <c r="C371" s="323">
        <v>0.15</v>
      </c>
      <c r="D371" s="323">
        <v>0.15</v>
      </c>
      <c r="E371" s="323">
        <v>0.15</v>
      </c>
      <c r="F371" s="323">
        <v>0.12</v>
      </c>
      <c r="G371" s="324">
        <v>0.15</v>
      </c>
    </row>
    <row r="372" spans="1:7">
      <c r="A372" s="333" t="s">
        <v>296</v>
      </c>
      <c r="B372" s="322" t="s">
        <v>2405</v>
      </c>
      <c r="C372" s="323">
        <v>0.15</v>
      </c>
      <c r="D372" s="323">
        <v>0.15</v>
      </c>
      <c r="E372" s="323">
        <v>0.15</v>
      </c>
      <c r="F372" s="323">
        <v>0.143</v>
      </c>
      <c r="G372" s="324">
        <v>0.15</v>
      </c>
    </row>
    <row r="373" spans="1:7">
      <c r="A373" s="333" t="s">
        <v>296</v>
      </c>
      <c r="B373" s="322" t="s">
        <v>2415</v>
      </c>
      <c r="C373" s="323">
        <v>0.15</v>
      </c>
      <c r="D373" s="323">
        <v>0.15</v>
      </c>
      <c r="E373" s="323">
        <v>0.15</v>
      </c>
      <c r="F373" s="323">
        <v>0.146</v>
      </c>
      <c r="G373" s="324">
        <v>0.15</v>
      </c>
    </row>
    <row r="374" spans="1:7">
      <c r="A374" s="333" t="s">
        <v>296</v>
      </c>
      <c r="B374" s="322" t="s">
        <v>2425</v>
      </c>
      <c r="C374" s="323">
        <v>0.15</v>
      </c>
      <c r="D374" s="323">
        <v>0.15</v>
      </c>
      <c r="E374" s="323">
        <v>0.15</v>
      </c>
      <c r="F374" s="323">
        <v>0.144</v>
      </c>
      <c r="G374" s="324">
        <v>0.15</v>
      </c>
    </row>
    <row r="375" spans="1:7">
      <c r="A375" s="333" t="s">
        <v>296</v>
      </c>
      <c r="B375" s="322" t="s">
        <v>2435</v>
      </c>
      <c r="C375" s="323">
        <v>0.15</v>
      </c>
      <c r="D375" s="323">
        <v>0.15</v>
      </c>
      <c r="E375" s="323">
        <v>0.15</v>
      </c>
      <c r="F375" s="323">
        <v>0.13</v>
      </c>
      <c r="G375" s="324">
        <v>0.15</v>
      </c>
    </row>
    <row r="376" spans="1:7">
      <c r="A376" s="333" t="s">
        <v>296</v>
      </c>
      <c r="B376" s="322" t="s">
        <v>2445</v>
      </c>
      <c r="C376" s="323">
        <v>0.15</v>
      </c>
      <c r="D376" s="323">
        <v>0.15</v>
      </c>
      <c r="E376" s="323">
        <v>0.15</v>
      </c>
      <c r="F376" s="323">
        <v>0.142</v>
      </c>
      <c r="G376" s="324">
        <v>0.15</v>
      </c>
    </row>
    <row r="377" ht="14.25" spans="1:7">
      <c r="A377" s="336" t="s">
        <v>296</v>
      </c>
      <c r="B377" s="326" t="s">
        <v>2455</v>
      </c>
      <c r="C377" s="327">
        <v>0.15</v>
      </c>
      <c r="D377" s="327">
        <v>0.15</v>
      </c>
      <c r="E377" s="327">
        <v>0.15</v>
      </c>
      <c r="F377" s="327">
        <v>0.14</v>
      </c>
      <c r="G377" s="329">
        <v>0.15</v>
      </c>
    </row>
    <row r="378" spans="1:7">
      <c r="A378" s="332" t="s">
        <v>300</v>
      </c>
      <c r="B378" s="318" t="s">
        <v>2252</v>
      </c>
      <c r="C378" s="319">
        <v>0.15</v>
      </c>
      <c r="D378" s="319">
        <v>0.15</v>
      </c>
      <c r="E378" s="319">
        <v>0.15</v>
      </c>
      <c r="F378" s="319">
        <v>0.107</v>
      </c>
      <c r="G378" s="320">
        <v>0.15</v>
      </c>
    </row>
    <row r="379" spans="1:7">
      <c r="A379" s="333" t="s">
        <v>300</v>
      </c>
      <c r="B379" s="322" t="s">
        <v>2265</v>
      </c>
      <c r="C379" s="323">
        <v>0.15</v>
      </c>
      <c r="D379" s="323">
        <v>0.15</v>
      </c>
      <c r="E379" s="323">
        <v>0.15</v>
      </c>
      <c r="F379" s="323">
        <v>0.115</v>
      </c>
      <c r="G379" s="324">
        <v>0.149</v>
      </c>
    </row>
    <row r="380" spans="1:7">
      <c r="A380" s="333" t="s">
        <v>300</v>
      </c>
      <c r="B380" s="322" t="s">
        <v>2279</v>
      </c>
      <c r="C380" s="323">
        <v>0.15</v>
      </c>
      <c r="D380" s="323">
        <v>0.15</v>
      </c>
      <c r="E380" s="323">
        <v>0.15</v>
      </c>
      <c r="F380" s="323">
        <v>0.1</v>
      </c>
      <c r="G380" s="324">
        <v>0.148</v>
      </c>
    </row>
    <row r="381" spans="1:7">
      <c r="A381" s="333" t="s">
        <v>300</v>
      </c>
      <c r="B381" s="322" t="s">
        <v>2291</v>
      </c>
      <c r="C381" s="323">
        <v>0.15</v>
      </c>
      <c r="D381" s="323">
        <v>0.15</v>
      </c>
      <c r="E381" s="323">
        <v>0.15</v>
      </c>
      <c r="F381" s="323">
        <v>0.126</v>
      </c>
      <c r="G381" s="324">
        <v>0.15</v>
      </c>
    </row>
    <row r="382" spans="1:7">
      <c r="A382" s="333" t="s">
        <v>300</v>
      </c>
      <c r="B382" s="322" t="s">
        <v>2303</v>
      </c>
      <c r="C382" s="323">
        <v>0.15</v>
      </c>
      <c r="D382" s="323">
        <v>0.15</v>
      </c>
      <c r="E382" s="323">
        <v>0.15</v>
      </c>
      <c r="F382" s="323">
        <v>0.15</v>
      </c>
      <c r="G382" s="324">
        <v>0.15</v>
      </c>
    </row>
    <row r="383" spans="1:7">
      <c r="A383" s="333" t="s">
        <v>300</v>
      </c>
      <c r="B383" s="322" t="s">
        <v>2314</v>
      </c>
      <c r="C383" s="323">
        <v>0.15</v>
      </c>
      <c r="D383" s="323">
        <v>0.15</v>
      </c>
      <c r="E383" s="323">
        <v>0.15</v>
      </c>
      <c r="F383" s="323">
        <v>0.147</v>
      </c>
      <c r="G383" s="324">
        <v>0.15</v>
      </c>
    </row>
    <row r="384" ht="14.25" spans="1:7">
      <c r="A384" s="343" t="s">
        <v>300</v>
      </c>
      <c r="B384" s="344" t="s">
        <v>2325</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0"/>
  </cols>
  <sheetData>
    <row r="1" spans="1:6">
      <c r="A1" s="301" t="s">
        <v>2629</v>
      </c>
      <c r="B1" s="301"/>
      <c r="C1" s="301"/>
      <c r="D1" s="301"/>
      <c r="E1" s="301"/>
      <c r="F1" s="302"/>
    </row>
    <row r="2" spans="1:6">
      <c r="A2" s="303" t="s">
        <v>2630</v>
      </c>
      <c r="B2" s="304"/>
      <c r="C2" s="304"/>
      <c r="D2" s="304"/>
      <c r="E2" s="304"/>
      <c r="F2" s="304"/>
    </row>
    <row r="3" spans="1:6">
      <c r="A3" s="303" t="s">
        <v>2631</v>
      </c>
      <c r="B3" s="304"/>
      <c r="C3" s="304"/>
      <c r="D3" s="304"/>
      <c r="E3" s="304"/>
      <c r="F3" s="305" t="s">
        <v>2632</v>
      </c>
    </row>
    <row r="4" spans="1:6">
      <c r="A4" s="306" t="s">
        <v>404</v>
      </c>
      <c r="B4" s="306" t="s">
        <v>1914</v>
      </c>
      <c r="C4" s="306" t="s">
        <v>1915</v>
      </c>
      <c r="D4" s="306" t="s">
        <v>2633</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F39" sqref="F39:F48"/>
    </sheetView>
  </sheetViews>
  <sheetFormatPr defaultColWidth="9" defaultRowHeight="13.5"/>
  <cols>
    <col min="1" max="1" width="13.875" customWidth="1"/>
    <col min="11" max="17" width="9" hidden="1" customWidth="1"/>
    <col min="25" max="30" width="9" hidden="1" customWidth="1"/>
  </cols>
  <sheetData>
    <row r="1" spans="1:30">
      <c r="A1" s="225">
        <f>基准地价修正!G23</f>
        <v>45069</v>
      </c>
      <c r="B1" s="226" t="s">
        <v>2634</v>
      </c>
      <c r="C1" s="227"/>
      <c r="D1" s="227"/>
      <c r="E1" s="227"/>
      <c r="F1" s="227"/>
      <c r="G1" s="227"/>
      <c r="H1" s="227"/>
      <c r="I1" s="227"/>
      <c r="J1" s="253"/>
      <c r="K1" s="227" t="s">
        <v>2635</v>
      </c>
      <c r="L1" s="227"/>
      <c r="M1" s="227"/>
      <c r="N1" s="227"/>
      <c r="O1" s="227"/>
      <c r="P1" s="227"/>
      <c r="Q1" s="253"/>
      <c r="R1" s="273" t="s">
        <v>2636</v>
      </c>
      <c r="S1" s="224"/>
      <c r="T1" s="224"/>
      <c r="U1" s="224"/>
      <c r="V1" s="224"/>
      <c r="W1" s="224"/>
      <c r="X1" s="253"/>
      <c r="Y1" s="273" t="s">
        <v>2637</v>
      </c>
      <c r="Z1" s="224"/>
      <c r="AA1" s="224"/>
      <c r="AB1" s="224"/>
      <c r="AC1" s="224"/>
      <c r="AD1" s="224"/>
    </row>
    <row r="2" s="217" customFormat="1" ht="14.25" spans="2:30">
      <c r="B2" s="228"/>
      <c r="C2" s="229"/>
      <c r="D2" s="230" t="s">
        <v>2638</v>
      </c>
      <c r="E2" s="231" t="s">
        <v>1914</v>
      </c>
      <c r="F2" s="231" t="s">
        <v>1915</v>
      </c>
      <c r="G2" s="231" t="s">
        <v>412</v>
      </c>
      <c r="H2" s="231" t="s">
        <v>408</v>
      </c>
      <c r="I2" s="231" t="s">
        <v>280</v>
      </c>
      <c r="J2" s="254"/>
      <c r="K2" s="230" t="s">
        <v>2638</v>
      </c>
      <c r="L2" s="231" t="s">
        <v>1914</v>
      </c>
      <c r="M2" s="231" t="s">
        <v>1915</v>
      </c>
      <c r="N2" s="231" t="s">
        <v>412</v>
      </c>
      <c r="O2" s="231" t="s">
        <v>408</v>
      </c>
      <c r="P2" s="231" t="s">
        <v>280</v>
      </c>
      <c r="Q2" s="254"/>
      <c r="R2" s="230" t="s">
        <v>2638</v>
      </c>
      <c r="S2" s="231" t="s">
        <v>1914</v>
      </c>
      <c r="T2" s="231" t="s">
        <v>1915</v>
      </c>
      <c r="U2" s="231" t="s">
        <v>412</v>
      </c>
      <c r="V2" s="231" t="s">
        <v>408</v>
      </c>
      <c r="W2" s="231" t="s">
        <v>280</v>
      </c>
      <c r="X2" s="254"/>
      <c r="Y2" s="230" t="s">
        <v>2638</v>
      </c>
      <c r="Z2" s="231" t="s">
        <v>1914</v>
      </c>
      <c r="AA2" s="231" t="s">
        <v>1915</v>
      </c>
      <c r="AB2" s="231" t="s">
        <v>412</v>
      </c>
      <c r="AC2" s="231" t="s">
        <v>408</v>
      </c>
      <c r="AD2" s="231" t="s">
        <v>280</v>
      </c>
    </row>
    <row r="3" s="218" customFormat="1" ht="12.75" spans="1:30">
      <c r="A3" s="232" t="s">
        <v>2639</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237" t="s">
        <v>2640</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2.75" spans="1:30">
      <c r="A6" s="237" t="s">
        <v>2641</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2.75" spans="1:30">
      <c r="A7" s="237" t="s">
        <v>2642</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2.75" spans="1:30">
      <c r="A8" s="237" t="s">
        <v>2643</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2.75" spans="1:30">
      <c r="A9" s="241" t="s">
        <v>2644</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2.75" spans="1:30">
      <c r="A10" s="237" t="s">
        <v>2645</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2.75" spans="1:30">
      <c r="A11" s="237" t="s">
        <v>2646</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2.75" spans="1:30">
      <c r="A12" s="237" t="s">
        <v>2647</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2.75" spans="1:30">
      <c r="A13" s="237" t="s">
        <v>2648</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2.75" spans="1:30">
      <c r="A14" s="237" t="s">
        <v>2649</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2.75" spans="1:30">
      <c r="A15" s="237" t="s">
        <v>2650</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spans="1:30">
      <c r="A16" s="247" t="s">
        <v>2651</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4.25"/>
    <row r="18" s="223" customFormat="1" spans="1:1">
      <c r="A18" s="252" t="s">
        <v>2652</v>
      </c>
    </row>
    <row r="19" s="223" customFormat="1" spans="9:9">
      <c r="I19" s="272" t="s">
        <v>1571</v>
      </c>
    </row>
    <row r="20" s="223" customFormat="1"/>
    <row r="21" s="224" customFormat="1" ht="12.75" spans="2:25">
      <c r="B21" s="226" t="s">
        <v>2653</v>
      </c>
      <c r="C21" s="227"/>
      <c r="D21" s="227"/>
      <c r="E21" s="227"/>
      <c r="F21" s="227"/>
      <c r="G21" s="227"/>
      <c r="H21" s="227"/>
      <c r="I21" s="227"/>
      <c r="J21" s="253"/>
      <c r="K21" s="227" t="s">
        <v>2635</v>
      </c>
      <c r="L21" s="227"/>
      <c r="M21" s="227"/>
      <c r="N21" s="227"/>
      <c r="O21" s="227"/>
      <c r="P21" s="227"/>
      <c r="Q21" s="253"/>
      <c r="R21" s="273" t="s">
        <v>2636</v>
      </c>
      <c r="X21" s="253"/>
      <c r="Y21" s="273" t="s">
        <v>2637</v>
      </c>
    </row>
    <row r="22" s="217" customFormat="1" ht="14.25" spans="2:30">
      <c r="B22" s="228"/>
      <c r="C22" s="229"/>
      <c r="D22" s="230" t="s">
        <v>2638</v>
      </c>
      <c r="E22" s="231" t="s">
        <v>1914</v>
      </c>
      <c r="F22" s="231" t="s">
        <v>1915</v>
      </c>
      <c r="G22" s="231" t="s">
        <v>412</v>
      </c>
      <c r="H22" s="231"/>
      <c r="I22" s="231" t="s">
        <v>280</v>
      </c>
      <c r="J22" s="254"/>
      <c r="K22" s="230" t="s">
        <v>2638</v>
      </c>
      <c r="L22" s="231" t="s">
        <v>1914</v>
      </c>
      <c r="M22" s="231" t="s">
        <v>1915</v>
      </c>
      <c r="N22" s="231" t="s">
        <v>412</v>
      </c>
      <c r="O22" s="231"/>
      <c r="P22" s="231" t="s">
        <v>280</v>
      </c>
      <c r="Q22" s="254"/>
      <c r="R22" s="230" t="s">
        <v>2638</v>
      </c>
      <c r="S22" s="231" t="s">
        <v>1914</v>
      </c>
      <c r="T22" s="231" t="s">
        <v>1915</v>
      </c>
      <c r="U22" s="231" t="s">
        <v>412</v>
      </c>
      <c r="V22" s="231"/>
      <c r="W22" s="231" t="s">
        <v>280</v>
      </c>
      <c r="X22" s="254"/>
      <c r="Y22" s="230" t="s">
        <v>2638</v>
      </c>
      <c r="Z22" s="231" t="s">
        <v>1914</v>
      </c>
      <c r="AA22" s="231" t="s">
        <v>1915</v>
      </c>
      <c r="AB22" s="231" t="s">
        <v>412</v>
      </c>
      <c r="AC22" s="231"/>
      <c r="AD22" s="231" t="s">
        <v>280</v>
      </c>
    </row>
    <row r="23" s="218" customFormat="1" ht="12.75" spans="1:30">
      <c r="A23" s="232" t="s">
        <v>2639</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2.75"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2.75" spans="1:30">
      <c r="A25" s="237" t="s">
        <v>2640</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2.75" spans="1:30">
      <c r="A26" s="237" t="s">
        <v>2641</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2.75" spans="1:30">
      <c r="A27" s="237" t="s">
        <v>2642</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2.75" spans="1:30">
      <c r="A28" s="237" t="s">
        <v>2643</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2.75" spans="1:30">
      <c r="A29" s="241" t="s">
        <v>2644</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2.75" spans="1:30">
      <c r="A30" s="237" t="s">
        <v>2645</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2.75" spans="1:30">
      <c r="A31" s="237" t="s">
        <v>2646</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2.75" spans="1:30">
      <c r="A32" s="237" t="s">
        <v>2647</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2.75" spans="1:30">
      <c r="A33" s="237" t="s">
        <v>2648</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2.75" spans="1:30">
      <c r="A34" s="237" t="s">
        <v>2649</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2.75" spans="1:30">
      <c r="A35" s="237" t="s">
        <v>2650</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spans="1:30">
      <c r="A36" s="247" t="s">
        <v>2651</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4.25"/>
    <row r="38" spans="1:1">
      <c r="A38" s="252" t="s">
        <v>2654</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2655</v>
      </c>
      <c r="C1" s="85"/>
      <c r="D1" s="85"/>
      <c r="E1" s="85"/>
      <c r="F1" s="85"/>
      <c r="G1" s="74" t="s">
        <v>2656</v>
      </c>
      <c r="N1" s="74" t="s">
        <v>2635</v>
      </c>
      <c r="S1" s="74" t="s">
        <v>2657</v>
      </c>
      <c r="X1" s="158" t="s">
        <v>2636</v>
      </c>
      <c r="AD1" s="158" t="s">
        <v>2637</v>
      </c>
    </row>
    <row r="2" s="75" customFormat="1" ht="14.25" spans="2:34">
      <c r="B2" s="86" t="s">
        <v>2658</v>
      </c>
      <c r="C2" s="86" t="s">
        <v>2659</v>
      </c>
      <c r="D2" s="87" t="s">
        <v>1915</v>
      </c>
      <c r="E2" s="87" t="s">
        <v>412</v>
      </c>
      <c r="F2" s="86" t="s">
        <v>2660</v>
      </c>
      <c r="G2" s="88"/>
      <c r="I2" s="86" t="s">
        <v>2658</v>
      </c>
      <c r="J2" s="87" t="s">
        <v>1924</v>
      </c>
      <c r="K2" s="87" t="s">
        <v>412</v>
      </c>
      <c r="L2" s="86" t="s">
        <v>2660</v>
      </c>
      <c r="N2" s="86" t="s">
        <v>2658</v>
      </c>
      <c r="O2" s="87" t="s">
        <v>1924</v>
      </c>
      <c r="P2" s="87" t="s">
        <v>412</v>
      </c>
      <c r="Q2" s="86" t="s">
        <v>2660</v>
      </c>
      <c r="S2" s="86" t="s">
        <v>2658</v>
      </c>
      <c r="T2" s="87" t="s">
        <v>1924</v>
      </c>
      <c r="U2" s="87" t="s">
        <v>412</v>
      </c>
      <c r="V2" s="86" t="s">
        <v>2660</v>
      </c>
      <c r="X2" s="86" t="s">
        <v>2658</v>
      </c>
      <c r="Y2" s="86" t="s">
        <v>2659</v>
      </c>
      <c r="Z2" s="87" t="s">
        <v>1915</v>
      </c>
      <c r="AA2" s="87" t="s">
        <v>412</v>
      </c>
      <c r="AB2" s="86" t="s">
        <v>2660</v>
      </c>
      <c r="AD2" s="86" t="s">
        <v>2658</v>
      </c>
      <c r="AE2" s="86" t="s">
        <v>2659</v>
      </c>
      <c r="AF2" s="87" t="s">
        <v>1915</v>
      </c>
      <c r="AG2" s="87" t="s">
        <v>412</v>
      </c>
      <c r="AH2" s="86" t="s">
        <v>2660</v>
      </c>
    </row>
    <row r="3" s="76" customFormat="1" ht="14.25" spans="1:34">
      <c r="A3" s="89" t="s">
        <v>2639</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2644</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2645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2646</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2647</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2648</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2649</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2650</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2651</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2662</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2663</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2664</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2665</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2666</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2667</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2668</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2669</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2670</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2671</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2672</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2673</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2674</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2675</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2676</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2677</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2678</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2679</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2680</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2681</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2682</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2683</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2684</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2685</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2686</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2687</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2688</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2689</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2690</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2691</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2692</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2693</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2694</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2695</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2696</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2697</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2698</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2699</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2700</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2701</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2702</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2703</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2704</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2705</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2706</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2707</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2708</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2709</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2710</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2711</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2712</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2713</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2714</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2715</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2716</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2717</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2718</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2719</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2720</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2721</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2722</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2723</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2724</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2725</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2726</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2727</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2728</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2729</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2730</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2731</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2732</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2733</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2734</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2735</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2736</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2737</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2738</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2739</v>
      </c>
      <c r="G91" s="192"/>
      <c r="N91" s="192"/>
      <c r="S91" s="192"/>
    </row>
    <row r="92" s="82" customFormat="1" spans="1:19">
      <c r="A92" s="82" t="s">
        <v>2740</v>
      </c>
      <c r="G92" s="192"/>
      <c r="N92" s="192"/>
      <c r="S92" s="192"/>
    </row>
    <row r="93" s="82" customFormat="1" spans="1:22">
      <c r="A93" s="82" t="s">
        <v>2741</v>
      </c>
      <c r="G93" s="192"/>
      <c r="I93" s="204"/>
      <c r="J93" s="204"/>
      <c r="K93" s="204"/>
      <c r="L93" s="204"/>
      <c r="N93" s="205"/>
      <c r="O93" s="204"/>
      <c r="P93" s="204"/>
      <c r="Q93" s="204"/>
      <c r="S93" s="205"/>
      <c r="T93" s="204"/>
      <c r="U93" s="204"/>
      <c r="V93" s="204"/>
    </row>
    <row r="94" s="82" customFormat="1" spans="1:19">
      <c r="A94" s="82" t="s">
        <v>2742</v>
      </c>
      <c r="G94" s="192"/>
      <c r="N94" s="192"/>
      <c r="S94" s="192"/>
    </row>
    <row r="101" ht="13.5"/>
    <row r="102" spans="7:22">
      <c r="G102" s="83"/>
      <c r="S102" s="209" t="s">
        <v>2743</v>
      </c>
      <c r="T102" s="210" t="s">
        <v>2744</v>
      </c>
      <c r="U102" s="210" t="s">
        <v>2745</v>
      </c>
      <c r="V102" s="210" t="s">
        <v>2746</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F39" sqref="F39:F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45069</v>
      </c>
      <c r="D1" s="7" t="s">
        <v>2747</v>
      </c>
      <c r="E1" s="9">
        <f>'数据-取费表'!B22</f>
        <v>2</v>
      </c>
      <c r="F1" s="7" t="s">
        <v>2748</v>
      </c>
      <c r="G1" s="10">
        <f ca="1">INDIRECT("d"&amp;$K$1)/100</f>
        <v>0.0365</v>
      </c>
      <c r="H1" s="7" t="s">
        <v>2749</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2748</v>
      </c>
      <c r="E2" s="11"/>
      <c r="F2" s="11" t="s">
        <v>2750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2752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2753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2754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2755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2757</v>
      </c>
      <c r="C10" s="35"/>
      <c r="D10" s="35"/>
      <c r="E10" s="35"/>
      <c r="F10" s="35"/>
      <c r="G10" s="35"/>
      <c r="H10" s="35"/>
      <c r="I10" s="3"/>
      <c r="J10" s="3"/>
      <c r="K10" s="35"/>
      <c r="L10" s="36" t="s">
        <v>2758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2759</v>
      </c>
      <c r="C11" s="39" t="s">
        <v>2760</v>
      </c>
      <c r="D11" s="40" t="s">
        <v>2761</v>
      </c>
      <c r="E11" s="41"/>
      <c r="F11" s="40" t="s">
        <v>2762</v>
      </c>
      <c r="G11" s="42"/>
      <c r="H11" s="41"/>
      <c r="I11" s="40" t="s">
        <v>2763</v>
      </c>
      <c r="J11" s="41"/>
      <c r="K11" s="37"/>
      <c r="L11" s="38" t="s">
        <v>2759</v>
      </c>
      <c r="M11" s="39" t="s">
        <v>2760</v>
      </c>
      <c r="N11" s="38" t="s">
        <v>2764</v>
      </c>
      <c r="O11" s="40" t="s">
        <v>2765</v>
      </c>
      <c r="P11" s="42"/>
      <c r="Q11" s="42"/>
      <c r="R11" s="42"/>
      <c r="S11" s="42"/>
      <c r="T11" s="41"/>
      <c r="U11" s="40" t="s">
        <v>2766</v>
      </c>
      <c r="V11" s="42"/>
      <c r="W11" s="41"/>
      <c r="X11" s="38" t="s">
        <v>2767</v>
      </c>
      <c r="Y11" s="38" t="s">
        <v>2768</v>
      </c>
      <c r="Z11" s="38" t="s">
        <v>2769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2770</v>
      </c>
      <c r="E12" s="46" t="s">
        <v>2752</v>
      </c>
      <c r="F12" s="46" t="s">
        <v>2753</v>
      </c>
      <c r="G12" s="46" t="s">
        <v>2754</v>
      </c>
      <c r="H12" s="46" t="s">
        <v>2755</v>
      </c>
      <c r="I12" s="60" t="s">
        <v>2771</v>
      </c>
      <c r="J12" s="60" t="s">
        <v>2771</v>
      </c>
      <c r="K12" s="43"/>
      <c r="L12" s="44"/>
      <c r="M12" s="45"/>
      <c r="N12" s="44"/>
      <c r="O12" s="60" t="s">
        <v>2772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2773</v>
      </c>
      <c r="C13" s="49">
        <v>44795</v>
      </c>
      <c r="D13" s="50">
        <v>3.65</v>
      </c>
      <c r="E13" s="50">
        <f>D13</f>
        <v>3.65</v>
      </c>
      <c r="F13" s="50">
        <f>D13</f>
        <v>3.65</v>
      </c>
      <c r="G13" s="50">
        <f>D13</f>
        <v>3.65</v>
      </c>
      <c r="H13" s="50">
        <v>4.3</v>
      </c>
      <c r="I13" s="50"/>
      <c r="J13" s="50"/>
      <c r="K13" s="47"/>
      <c r="L13" s="48" t="s">
        <v>2773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4.25"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t="s">
        <v>2774</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2775</v>
      </c>
      <c r="Y42" s="52" t="s">
        <v>2775</v>
      </c>
      <c r="Z42" s="52" t="s">
        <v>2775</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2775</v>
      </c>
      <c r="Y43" s="52" t="s">
        <v>2775</v>
      </c>
      <c r="Z43" s="52" t="s">
        <v>2775</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2775</v>
      </c>
      <c r="Y44" s="52" t="s">
        <v>2775</v>
      </c>
      <c r="Z44" s="52" t="s">
        <v>2775</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2775</v>
      </c>
      <c r="Y45" s="52" t="s">
        <v>2775</v>
      </c>
      <c r="Z45" s="52" t="s">
        <v>2775</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2775</v>
      </c>
      <c r="Y46" s="52" t="s">
        <v>2775</v>
      </c>
      <c r="Z46" s="52" t="s">
        <v>2775</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2775</v>
      </c>
      <c r="Y47" s="52" t="s">
        <v>2775</v>
      </c>
      <c r="Z47" s="52" t="s">
        <v>2775</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2775</v>
      </c>
      <c r="Y48" s="52" t="s">
        <v>2775</v>
      </c>
      <c r="Z48" s="52" t="s">
        <v>2775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2775</v>
      </c>
      <c r="Y49" s="52" t="s">
        <v>2775</v>
      </c>
      <c r="Z49" s="52" t="s">
        <v>2775</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2775</v>
      </c>
      <c r="Y50" s="52" t="s">
        <v>2775</v>
      </c>
      <c r="Z50" s="52" t="s">
        <v>2775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2775</v>
      </c>
      <c r="V51" s="52" t="s">
        <v>2775</v>
      </c>
      <c r="W51" s="52" t="s">
        <v>2775</v>
      </c>
      <c r="X51" s="52" t="s">
        <v>2775</v>
      </c>
      <c r="Y51" s="52" t="s">
        <v>2775</v>
      </c>
      <c r="Z51" s="52" t="s">
        <v>2775</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2775</v>
      </c>
      <c r="J64" s="52" t="s">
        <v>2775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2" customWidth="1"/>
    <col min="2" max="9" width="12.125" style="972" customWidth="1"/>
    <col min="10" max="16384" width="9" style="972"/>
  </cols>
  <sheetData>
    <row r="1" ht="18.75" spans="1:9">
      <c r="A1" s="3648" t="str">
        <f>IF(项目基本情况!B9="房地产市场价值","估价结果一览表","结果表-2")</f>
        <v>估价结果一览表</v>
      </c>
      <c r="B1" s="3648"/>
      <c r="C1" s="3648"/>
      <c r="D1" s="3648"/>
      <c r="E1" s="3648"/>
      <c r="F1" s="3648"/>
      <c r="G1" s="3648"/>
      <c r="H1" s="3648"/>
      <c r="I1" s="3648"/>
    </row>
    <row r="2" ht="30" customHeight="1" spans="1:9">
      <c r="A2" s="3649" t="s">
        <v>107</v>
      </c>
      <c r="B2" s="3649" t="s">
        <v>108</v>
      </c>
      <c r="C2" s="3649" t="s">
        <v>109</v>
      </c>
      <c r="D2" s="3649" t="str">
        <f>结果表!D116</f>
        <v>出让国有建设用地使用权价值</v>
      </c>
      <c r="E2" s="3649"/>
      <c r="F2" s="3649" t="str">
        <f>结果表!F116</f>
        <v>在建建筑物价值</v>
      </c>
      <c r="G2" s="3649"/>
      <c r="H2" s="3649" t="str">
        <f>IF(项目基本情况!B9="房地产市场价值","房地产市场价值","房地产价值")</f>
        <v>房地产市场价值</v>
      </c>
      <c r="I2" s="3649"/>
    </row>
    <row r="3" ht="15" spans="1:9">
      <c r="A3" s="3650"/>
      <c r="B3" s="3650"/>
      <c r="C3" s="3650"/>
      <c r="D3" s="3650" t="s">
        <v>110</v>
      </c>
      <c r="E3" s="3650" t="s">
        <v>111</v>
      </c>
      <c r="F3" s="3650" t="s">
        <v>110</v>
      </c>
      <c r="G3" s="3650" t="s">
        <v>111</v>
      </c>
      <c r="H3" s="3650" t="s">
        <v>110</v>
      </c>
      <c r="I3" s="3650" t="s">
        <v>111</v>
      </c>
    </row>
    <row r="4" ht="15" spans="1:9">
      <c r="A4" s="3651" t="str">
        <f>项目基本情况!S2</f>
        <v>北京市房地产</v>
      </c>
      <c r="B4" s="3650">
        <f>项目基本情况!C17</f>
        <v>211.57</v>
      </c>
      <c r="C4" s="3650">
        <f>项目基本情况!C18</f>
        <v>0</v>
      </c>
      <c r="D4" s="3650" t="e">
        <f ca="1">结果表!D118</f>
        <v>#REF!</v>
      </c>
      <c r="E4" s="3650" t="e">
        <f ca="1">结果表!E118</f>
        <v>#REF!</v>
      </c>
      <c r="F4" s="3650" t="e">
        <f ca="1">结果表!F118</f>
        <v>#REF!</v>
      </c>
      <c r="G4" s="3650" t="e">
        <f ca="1">结果表!G118</f>
        <v>#REF!</v>
      </c>
      <c r="H4" s="3650" t="e">
        <f ca="1">结果表!H118</f>
        <v>#REF!</v>
      </c>
      <c r="I4" s="3650" t="e">
        <f ca="1">结果表!I118</f>
        <v>#REF!</v>
      </c>
    </row>
    <row r="5" ht="30" customHeight="1" spans="1:9">
      <c r="A5" s="3650" t="s">
        <v>112</v>
      </c>
      <c r="B5" s="3650"/>
      <c r="C5" s="3650"/>
      <c r="D5" s="3650" t="e">
        <f ca="1">结果表!D119</f>
        <v>#REF!</v>
      </c>
      <c r="E5" s="3650"/>
      <c r="F5" s="3650" t="e">
        <f ca="1">结果表!F119</f>
        <v>#REF!</v>
      </c>
      <c r="G5" s="3650"/>
      <c r="H5" s="3650" t="e">
        <f ca="1">结果表!H119</f>
        <v>#REF!</v>
      </c>
      <c r="I5" s="3650"/>
    </row>
    <row r="6" ht="15.75" spans="1:9">
      <c r="A6" s="3652" t="str">
        <f>结果表!A120</f>
        <v/>
      </c>
      <c r="B6" s="3652"/>
      <c r="C6" s="3652"/>
      <c r="D6" s="3652">
        <f>结果表!D120</f>
        <v>0</v>
      </c>
      <c r="E6" s="3652"/>
      <c r="F6" s="3652"/>
      <c r="G6" s="3652"/>
      <c r="H6" s="3652"/>
      <c r="I6" s="3652"/>
    </row>
    <row r="7" ht="15" spans="1:9">
      <c r="A7" s="3650" t="s">
        <v>112</v>
      </c>
      <c r="B7" s="3650"/>
      <c r="C7" s="3650"/>
      <c r="D7" s="3653" t="str">
        <f>结果表!D121</f>
        <v>零元整</v>
      </c>
      <c r="E7" s="3654"/>
      <c r="F7" s="3654"/>
      <c r="G7" s="3654"/>
      <c r="H7" s="3654"/>
      <c r="I7" s="3658"/>
    </row>
    <row r="8" ht="15.75" spans="1:9">
      <c r="A8" s="3652" t="str">
        <f>结果表!A122</f>
        <v/>
      </c>
      <c r="B8" s="3652"/>
      <c r="C8" s="3652"/>
      <c r="D8" s="3652" t="str">
        <f ca="1">结果表!D122</f>
        <v>——</v>
      </c>
      <c r="E8" s="3652"/>
      <c r="F8" s="3652"/>
      <c r="G8" s="3652"/>
      <c r="H8" s="3652"/>
      <c r="I8" s="3652"/>
    </row>
    <row r="9" ht="15" spans="1:9">
      <c r="A9" s="3650" t="s">
        <v>112</v>
      </c>
      <c r="B9" s="3650"/>
      <c r="C9" s="3650"/>
      <c r="D9" s="3650" t="e">
        <f ca="1">结果表!D123</f>
        <v>#VALUE!</v>
      </c>
      <c r="E9" s="3650"/>
      <c r="F9" s="3650"/>
      <c r="G9" s="3650"/>
      <c r="H9" s="3650"/>
      <c r="I9" s="3650"/>
    </row>
    <row r="10" ht="15.75" spans="1:9">
      <c r="A10" s="3652" t="str">
        <f>结果表!A124</f>
        <v/>
      </c>
      <c r="B10" s="3652"/>
      <c r="C10" s="3652"/>
      <c r="D10" s="3652" t="str">
        <f ca="1">结果表!D124</f>
        <v>——</v>
      </c>
      <c r="E10" s="3652"/>
      <c r="F10" s="3652"/>
      <c r="G10" s="3652"/>
      <c r="H10" s="3652"/>
      <c r="I10" s="3652"/>
    </row>
    <row r="11" ht="15" spans="1:9">
      <c r="A11" s="3650" t="s">
        <v>112</v>
      </c>
      <c r="B11" s="3650"/>
      <c r="C11" s="3650"/>
      <c r="D11" s="3650" t="e">
        <f ca="1">结果表!D125</f>
        <v>#VALUE!</v>
      </c>
      <c r="E11" s="3650"/>
      <c r="F11" s="3650"/>
      <c r="G11" s="3650"/>
      <c r="H11" s="3650"/>
      <c r="I11" s="3650"/>
    </row>
    <row r="12" ht="15.75" spans="1:9">
      <c r="A12" s="3652" t="str">
        <f>结果表!A126</f>
        <v/>
      </c>
      <c r="B12" s="3652"/>
      <c r="C12" s="3652"/>
      <c r="D12" s="3652" t="str">
        <f ca="1">结果表!D126</f>
        <v>——</v>
      </c>
      <c r="E12" s="3652"/>
      <c r="F12" s="3652"/>
      <c r="G12" s="3652"/>
      <c r="H12" s="3652"/>
      <c r="I12" s="3652"/>
    </row>
    <row r="13" ht="15.75" spans="1:9">
      <c r="A13" s="3655" t="s">
        <v>112</v>
      </c>
      <c r="B13" s="3655"/>
      <c r="C13" s="3655"/>
      <c r="D13" s="3655" t="e">
        <f ca="1">结果表!D127</f>
        <v>#VALUE!</v>
      </c>
      <c r="E13" s="3655"/>
      <c r="F13" s="3655"/>
      <c r="G13" s="3655"/>
      <c r="H13" s="3655"/>
      <c r="I13" s="3655"/>
    </row>
    <row r="14" spans="1:9">
      <c r="A14" s="3656" t="s">
        <v>113</v>
      </c>
      <c r="B14" s="3656"/>
      <c r="C14" s="3656"/>
      <c r="D14" s="3656"/>
      <c r="E14" s="3656"/>
      <c r="F14" s="3656"/>
      <c r="G14" s="3656"/>
      <c r="H14" s="3656"/>
      <c r="I14" s="3656"/>
    </row>
    <row r="16" ht="18.75" spans="1:9">
      <c r="A16" s="3657" t="s">
        <v>106</v>
      </c>
      <c r="B16" s="1779"/>
      <c r="C16" s="1779"/>
      <c r="D16" s="1779"/>
      <c r="E16" s="1779"/>
      <c r="F16" s="1779"/>
      <c r="G16" s="1779"/>
      <c r="H16" s="1779"/>
      <c r="I16" s="1779"/>
    </row>
    <row r="17" spans="1:9">
      <c r="A17" s="1779"/>
      <c r="B17" s="1779"/>
      <c r="C17" s="1779"/>
      <c r="D17" s="1779"/>
      <c r="E17" s="1779"/>
      <c r="F17" s="1779"/>
      <c r="G17" s="1779"/>
      <c r="H17" s="1779"/>
      <c r="I17" s="1779"/>
    </row>
    <row r="18" spans="1:9">
      <c r="A18" s="1779"/>
      <c r="B18" s="1779"/>
      <c r="C18" s="1779"/>
      <c r="D18" s="1779"/>
      <c r="E18" s="1779"/>
      <c r="F18" s="1779"/>
      <c r="G18" s="1779"/>
      <c r="H18" s="1779"/>
      <c r="I18" s="1779"/>
    </row>
    <row r="19" spans="1:9">
      <c r="A19" s="1779"/>
      <c r="B19" s="1779"/>
      <c r="C19" s="1779"/>
      <c r="D19" s="1779"/>
      <c r="E19" s="1779"/>
      <c r="F19" s="1779"/>
      <c r="G19" s="1779"/>
      <c r="H19" s="1779"/>
      <c r="I19" s="1779"/>
    </row>
    <row r="20" spans="1:9">
      <c r="A20" s="1779"/>
      <c r="B20" s="1779"/>
      <c r="C20" s="1779"/>
      <c r="D20" s="1779"/>
      <c r="E20" s="1779"/>
      <c r="F20" s="1779"/>
      <c r="G20" s="1779"/>
      <c r="H20" s="1779"/>
      <c r="I20" s="1779"/>
    </row>
    <row r="21" spans="1:9">
      <c r="A21" s="1779"/>
      <c r="B21" s="1779"/>
      <c r="C21" s="1779"/>
      <c r="D21" s="1779"/>
      <c r="E21" s="1779"/>
      <c r="F21" s="1779"/>
      <c r="G21" s="1779"/>
      <c r="H21" s="1779"/>
      <c r="I21" s="1779"/>
    </row>
    <row r="22" spans="1:9">
      <c r="A22" s="1779"/>
      <c r="B22" s="1779"/>
      <c r="C22" s="1779"/>
      <c r="D22" s="1779"/>
      <c r="E22" s="1779"/>
      <c r="F22" s="1779"/>
      <c r="G22" s="1779"/>
      <c r="H22" s="1779"/>
      <c r="I22" s="177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2" customWidth="1"/>
    <col min="2" max="3" width="22.375" style="972" customWidth="1"/>
    <col min="4" max="4" width="23" style="972" customWidth="1"/>
    <col min="5" max="16384" width="9" style="972"/>
  </cols>
  <sheetData>
    <row r="1" ht="18.75" spans="1:4">
      <c r="A1" s="3628" t="s">
        <v>114</v>
      </c>
      <c r="B1" s="3628"/>
      <c r="C1" s="3628"/>
      <c r="D1" s="3628"/>
    </row>
    <row r="2" ht="18" spans="1:4">
      <c r="A2" s="3629" t="s">
        <v>115</v>
      </c>
      <c r="B2" s="3629"/>
      <c r="C2" s="3629"/>
      <c r="D2" s="3629"/>
    </row>
    <row r="3" ht="18.75" spans="1:4">
      <c r="A3" s="3630" t="s">
        <v>116</v>
      </c>
      <c r="B3" s="3630" t="s">
        <v>117</v>
      </c>
      <c r="C3" s="3630" t="s">
        <v>118</v>
      </c>
      <c r="D3" s="3630" t="s">
        <v>119</v>
      </c>
    </row>
    <row r="4" ht="56.25" customHeight="1" spans="1:4">
      <c r="A4" s="3631">
        <f>项目基本情况!B4</f>
        <v>0</v>
      </c>
      <c r="B4" s="3632">
        <f ca="1">项目基本情况!C4</f>
        <v>0</v>
      </c>
      <c r="C4" s="3633"/>
      <c r="D4" s="3634" t="s">
        <v>120</v>
      </c>
    </row>
    <row r="5" ht="56.25" customHeight="1" spans="1:4">
      <c r="A5" s="3631">
        <f>项目基本情况!D4</f>
        <v>0</v>
      </c>
      <c r="B5" s="3632">
        <f ca="1">项目基本情况!E4</f>
        <v>0</v>
      </c>
      <c r="C5" s="3635"/>
      <c r="D5" s="3634" t="s">
        <v>120</v>
      </c>
    </row>
    <row r="6" ht="18" spans="1:4">
      <c r="A6" s="3629" t="s">
        <v>121</v>
      </c>
      <c r="B6" s="3629"/>
      <c r="C6" s="3629"/>
      <c r="D6" s="3629"/>
    </row>
    <row r="7" ht="18.75" spans="1:4">
      <c r="A7" s="3630" t="s">
        <v>116</v>
      </c>
      <c r="B7" s="3632" t="s">
        <v>122</v>
      </c>
      <c r="C7" s="3630" t="s">
        <v>118</v>
      </c>
      <c r="D7" s="3630" t="s">
        <v>119</v>
      </c>
    </row>
    <row r="8" ht="56.25" customHeight="1" spans="1:4">
      <c r="A8" s="3636" t="s">
        <v>123</v>
      </c>
      <c r="B8" s="3636" t="s">
        <v>124</v>
      </c>
      <c r="C8" s="3633"/>
      <c r="D8" s="3634" t="s">
        <v>120</v>
      </c>
    </row>
    <row r="9" spans="1:4">
      <c r="A9" s="3637"/>
      <c r="B9" s="3637"/>
      <c r="C9" s="3637"/>
      <c r="D9" s="3637"/>
    </row>
    <row r="10" ht="18.75" spans="1:4">
      <c r="A10" s="3628" t="s">
        <v>125</v>
      </c>
      <c r="B10" s="3637"/>
      <c r="C10" s="3637"/>
      <c r="D10" s="3637"/>
    </row>
    <row r="11" ht="30" customHeight="1" spans="1:4">
      <c r="A11" s="3638" t="s">
        <v>126</v>
      </c>
      <c r="B11" s="3639"/>
      <c r="C11" s="3639"/>
      <c r="D11" s="3639"/>
    </row>
    <row r="12" ht="15" spans="1:4">
      <c r="A12" s="36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40"/>
      <c r="C12" s="3640"/>
      <c r="D12" s="3640"/>
    </row>
    <row r="13" ht="30" customHeight="1" spans="1:4">
      <c r="A13" s="3639" t="str">
        <f>IF(项目基本情况!B8="抵押","3.抵押双方在办理抵押登记手续时，应使用本公司出具的正式《房地产评估报告》，特提醒报告使用者注意。","——")</f>
        <v>——</v>
      </c>
      <c r="B13" s="3640"/>
      <c r="C13" s="3640"/>
      <c r="D13" s="3640"/>
    </row>
    <row r="14" ht="15.75" customHeight="1" spans="1:4">
      <c r="A14" s="3639" t="str">
        <f>IF(项目基本情况!B8="抵押","4.本次评估估价师所知悉的法定优先受偿款情况说明如下：","——")</f>
        <v>——</v>
      </c>
      <c r="B14" s="3640"/>
      <c r="C14" s="3640"/>
      <c r="D14" s="3640"/>
    </row>
    <row r="15" ht="42" customHeight="1" spans="1:4">
      <c r="A15" s="3639" t="str">
        <f>IF(项目基本情况!B8="抵押","（1）"&amp;CONCATENATE(项目基本情况!L20,项目基本情况!L21,项目基本情况!L22),"——")</f>
        <v>——</v>
      </c>
      <c r="B15" s="3639"/>
      <c r="C15" s="3639"/>
      <c r="D15" s="3639"/>
    </row>
    <row r="16" ht="30" customHeight="1" spans="1:4">
      <c r="A16" s="3641" t="s">
        <v>127</v>
      </c>
      <c r="B16" s="3641"/>
      <c r="C16" s="3641"/>
      <c r="D16" s="3641"/>
    </row>
    <row r="17" ht="144" customHeight="1" spans="1:4">
      <c r="A17" s="3641" t="s">
        <v>128</v>
      </c>
      <c r="B17" s="3641"/>
      <c r="C17" s="3641"/>
      <c r="D17" s="3641"/>
    </row>
    <row r="18" ht="15.75" customHeight="1" spans="1:4">
      <c r="A18" s="3639" t="str">
        <f>IF(项目基本情况!B8="抵押",结果表!K120,"——")</f>
        <v>——</v>
      </c>
      <c r="B18" s="3639"/>
      <c r="C18" s="3639"/>
      <c r="D18" s="3639"/>
    </row>
    <row r="19" ht="46.5" customHeight="1" spans="1:4">
      <c r="A19" s="36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39"/>
      <c r="C19" s="3639"/>
      <c r="D19" s="3639"/>
    </row>
    <row r="20" ht="57.75" customHeight="1" spans="1:4">
      <c r="A20" s="36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9"/>
      <c r="C20" s="3639"/>
      <c r="D20" s="3639"/>
    </row>
    <row r="21" ht="57.75" customHeight="1" spans="1:4">
      <c r="A21" s="36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2"/>
      <c r="C21" s="3642"/>
      <c r="D21" s="3642"/>
    </row>
    <row r="22" ht="18.75" customHeight="1" spans="1:4">
      <c r="A22" s="3643" t="s">
        <v>129</v>
      </c>
      <c r="B22" s="3643"/>
      <c r="C22" s="3643"/>
      <c r="D22" s="3643"/>
    </row>
    <row r="23" spans="1:4">
      <c r="A23" s="3644"/>
      <c r="B23" s="1779"/>
      <c r="C23" s="1779"/>
      <c r="D23" s="1779"/>
    </row>
    <row r="24" spans="1:4">
      <c r="A24" s="3644"/>
      <c r="B24" s="1779"/>
      <c r="C24" s="1779"/>
      <c r="D24" s="1779"/>
    </row>
    <row r="25" ht="18.75" spans="1:1">
      <c r="A25" s="3645" t="s">
        <v>130</v>
      </c>
    </row>
    <row r="26" ht="18" spans="1:1">
      <c r="A26" s="3646"/>
    </row>
    <row r="27" ht="18.75" spans="1:1">
      <c r="A27" s="3646" t="s">
        <v>131</v>
      </c>
    </row>
    <row r="30" ht="18.75" spans="4:4">
      <c r="D30" s="3645" t="s">
        <v>132</v>
      </c>
    </row>
    <row r="31" ht="13.5" customHeight="1" spans="3:4">
      <c r="C31" s="3647">
        <v>42551</v>
      </c>
      <c r="D31" s="36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4" customWidth="1"/>
    <col min="3" max="10" width="12.5" style="3624" customWidth="1"/>
    <col min="11" max="16384" width="9" style="3624"/>
  </cols>
  <sheetData>
    <row r="1" ht="18.75" spans="1:10">
      <c r="A1" s="3625" t="s">
        <v>133</v>
      </c>
      <c r="B1" s="3626"/>
      <c r="C1" s="3626"/>
      <c r="D1" s="3626"/>
      <c r="E1" s="3626"/>
      <c r="F1" s="3626"/>
      <c r="G1" s="3626"/>
      <c r="H1" s="3626"/>
      <c r="I1" s="3626"/>
      <c r="J1" s="3626"/>
    </row>
    <row r="2" ht="18.75" spans="1:10">
      <c r="A2" s="3627"/>
      <c r="B2" s="3626"/>
      <c r="C2" s="3626"/>
      <c r="D2" s="3626"/>
      <c r="E2" s="3626"/>
      <c r="F2" s="3626"/>
      <c r="G2" s="3626"/>
      <c r="H2" s="3626"/>
      <c r="I2" s="3626"/>
      <c r="J2" s="3626"/>
    </row>
    <row r="3" spans="1:10">
      <c r="A3" s="3626"/>
      <c r="B3" s="3626"/>
      <c r="C3" s="3626"/>
      <c r="D3" s="3626"/>
      <c r="E3" s="3626"/>
      <c r="F3" s="3626"/>
      <c r="G3" s="3626"/>
      <c r="H3" s="3626"/>
      <c r="I3" s="3626"/>
      <c r="J3" s="3626"/>
    </row>
    <row r="4" spans="1:10">
      <c r="A4" s="3626"/>
      <c r="B4" s="3626"/>
      <c r="C4" s="3626"/>
      <c r="D4" s="3626"/>
      <c r="E4" s="3626"/>
      <c r="F4" s="3626"/>
      <c r="G4" s="3626"/>
      <c r="H4" s="3626"/>
      <c r="I4" s="3626"/>
      <c r="J4" s="3626"/>
    </row>
    <row r="5" spans="1:10">
      <c r="A5" s="3626"/>
      <c r="B5" s="3626"/>
      <c r="C5" s="3626"/>
      <c r="D5" s="3626"/>
      <c r="E5" s="3626"/>
      <c r="F5" s="3626"/>
      <c r="G5" s="3626"/>
      <c r="H5" s="3626"/>
      <c r="I5" s="3626"/>
      <c r="J5" s="3626"/>
    </row>
    <row r="6" spans="1:10">
      <c r="A6" s="3626"/>
      <c r="B6" s="3626"/>
      <c r="C6" s="3626"/>
      <c r="D6" s="3626"/>
      <c r="E6" s="3626"/>
      <c r="F6" s="3626"/>
      <c r="G6" s="3626"/>
      <c r="H6" s="3626"/>
      <c r="I6" s="3626"/>
      <c r="J6" s="3626"/>
    </row>
    <row r="7" spans="1:10">
      <c r="A7" s="3626"/>
      <c r="B7" s="3626"/>
      <c r="C7" s="3626"/>
      <c r="D7" s="3626"/>
      <c r="E7" s="3626"/>
      <c r="F7" s="3626"/>
      <c r="G7" s="3626"/>
      <c r="H7" s="3626"/>
      <c r="I7" s="3626"/>
      <c r="J7" s="3626"/>
    </row>
    <row r="8" spans="1:10">
      <c r="A8" s="3626"/>
      <c r="B8" s="3626"/>
      <c r="C8" s="3626"/>
      <c r="D8" s="3626"/>
      <c r="E8" s="3626"/>
      <c r="F8" s="3626"/>
      <c r="G8" s="3626"/>
      <c r="H8" s="3626"/>
      <c r="I8" s="3626"/>
      <c r="J8" s="3626"/>
    </row>
    <row r="9" spans="1:10">
      <c r="A9" s="3626"/>
      <c r="B9" s="3626"/>
      <c r="C9" s="3626"/>
      <c r="D9" s="3626"/>
      <c r="E9" s="3626"/>
      <c r="F9" s="3626"/>
      <c r="G9" s="3626"/>
      <c r="H9" s="3626"/>
      <c r="I9" s="3626"/>
      <c r="J9" s="3626"/>
    </row>
    <row r="10" spans="1:10">
      <c r="A10" s="3626"/>
      <c r="B10" s="3626"/>
      <c r="C10" s="3626"/>
      <c r="D10" s="3626"/>
      <c r="E10" s="3626"/>
      <c r="F10" s="3626"/>
      <c r="G10" s="3626"/>
      <c r="H10" s="3626"/>
      <c r="I10" s="3626"/>
      <c r="J10" s="3626"/>
    </row>
    <row r="11" spans="1:10">
      <c r="A11" s="3626"/>
      <c r="B11" s="3626"/>
      <c r="C11" s="3626"/>
      <c r="D11" s="3626"/>
      <c r="E11" s="3626"/>
      <c r="F11" s="3626"/>
      <c r="G11" s="3626"/>
      <c r="H11" s="3626"/>
      <c r="I11" s="3626"/>
      <c r="J11" s="3626"/>
    </row>
    <row r="12" spans="1:10">
      <c r="A12" s="3626"/>
      <c r="B12" s="3626"/>
      <c r="C12" s="3626"/>
      <c r="D12" s="3626"/>
      <c r="E12" s="3626"/>
      <c r="F12" s="3626"/>
      <c r="G12" s="3626"/>
      <c r="H12" s="3626"/>
      <c r="I12" s="3626"/>
      <c r="J12" s="3626"/>
    </row>
    <row r="13" spans="1:10">
      <c r="A13" s="3626"/>
      <c r="B13" s="3626"/>
      <c r="C13" s="3626"/>
      <c r="D13" s="3626"/>
      <c r="E13" s="3626"/>
      <c r="F13" s="3626"/>
      <c r="G13" s="3626"/>
      <c r="H13" s="3626"/>
      <c r="I13" s="3626"/>
      <c r="J13" s="3626"/>
    </row>
    <row r="14" spans="1:10">
      <c r="A14" s="3626"/>
      <c r="B14" s="3626"/>
      <c r="C14" s="3626"/>
      <c r="D14" s="3626"/>
      <c r="E14" s="3626"/>
      <c r="F14" s="3626"/>
      <c r="G14" s="3626"/>
      <c r="H14" s="3626"/>
      <c r="I14" s="3626"/>
      <c r="J14" s="3626"/>
    </row>
    <row r="15" spans="1:10">
      <c r="A15" s="3626"/>
      <c r="B15" s="3626"/>
      <c r="C15" s="3626"/>
      <c r="D15" s="3626"/>
      <c r="E15" s="3626"/>
      <c r="F15" s="3626"/>
      <c r="G15" s="3626"/>
      <c r="H15" s="3626"/>
      <c r="I15" s="3626"/>
      <c r="J15" s="3626"/>
    </row>
    <row r="16" spans="1:10">
      <c r="A16" s="3626"/>
      <c r="B16" s="3626"/>
      <c r="C16" s="3626"/>
      <c r="D16" s="3626"/>
      <c r="E16" s="3626"/>
      <c r="F16" s="3626"/>
      <c r="G16" s="3626"/>
      <c r="H16" s="3626"/>
      <c r="I16" s="3626"/>
      <c r="J16" s="3626"/>
    </row>
    <row r="17" spans="1:10">
      <c r="A17" s="3626"/>
      <c r="B17" s="3626"/>
      <c r="C17" s="3626"/>
      <c r="D17" s="3626"/>
      <c r="E17" s="3626"/>
      <c r="F17" s="3626"/>
      <c r="G17" s="3626"/>
      <c r="H17" s="3626"/>
      <c r="I17" s="3626"/>
      <c r="J17" s="3626"/>
    </row>
    <row r="18" spans="1:10">
      <c r="A18" s="3626"/>
      <c r="B18" s="3626"/>
      <c r="C18" s="3626"/>
      <c r="D18" s="3626"/>
      <c r="E18" s="3626"/>
      <c r="F18" s="3626"/>
      <c r="G18" s="3626"/>
      <c r="H18" s="3626"/>
      <c r="I18" s="3626"/>
      <c r="J18" s="3626"/>
    </row>
    <row r="19" spans="1:10">
      <c r="A19" s="3626"/>
      <c r="B19" s="3626"/>
      <c r="C19" s="3626"/>
      <c r="D19" s="3626"/>
      <c r="E19" s="3626"/>
      <c r="F19" s="3626"/>
      <c r="G19" s="3626"/>
      <c r="H19" s="3626"/>
      <c r="I19" s="3626"/>
      <c r="J19" s="3626"/>
    </row>
    <row r="20" spans="1:10">
      <c r="A20" s="3626"/>
      <c r="B20" s="3626"/>
      <c r="C20" s="3626"/>
      <c r="D20" s="3626"/>
      <c r="E20" s="3626"/>
      <c r="F20" s="3626"/>
      <c r="G20" s="3626"/>
      <c r="H20" s="3626"/>
      <c r="I20" s="3626"/>
      <c r="J20" s="3626"/>
    </row>
    <row r="21" spans="1:10">
      <c r="A21" s="3626"/>
      <c r="B21" s="3626"/>
      <c r="C21" s="3626"/>
      <c r="D21" s="3626"/>
      <c r="E21" s="3626"/>
      <c r="F21" s="3626"/>
      <c r="G21" s="3626"/>
      <c r="H21" s="3626"/>
      <c r="I21" s="3626"/>
      <c r="J21" s="3626"/>
    </row>
    <row r="22" spans="1:10">
      <c r="A22" s="3626"/>
      <c r="B22" s="3626"/>
      <c r="C22" s="3626"/>
      <c r="D22" s="3626"/>
      <c r="E22" s="3626"/>
      <c r="F22" s="3626"/>
      <c r="G22" s="3626"/>
      <c r="H22" s="3626"/>
      <c r="I22" s="3626"/>
      <c r="J22" s="3626"/>
    </row>
    <row r="23" spans="1:10">
      <c r="A23" s="3626"/>
      <c r="B23" s="3626"/>
      <c r="C23" s="3626"/>
      <c r="D23" s="3626"/>
      <c r="E23" s="3626"/>
      <c r="F23" s="3626"/>
      <c r="G23" s="3626"/>
      <c r="H23" s="3626"/>
      <c r="I23" s="3626"/>
      <c r="J23" s="3626"/>
    </row>
    <row r="24" spans="1:10">
      <c r="A24" s="3626"/>
      <c r="B24" s="3626"/>
      <c r="C24" s="3626"/>
      <c r="D24" s="3626"/>
      <c r="E24" s="3626"/>
      <c r="F24" s="3626"/>
      <c r="G24" s="3626"/>
      <c r="H24" s="3626"/>
      <c r="I24" s="3626"/>
      <c r="J24" s="3626"/>
    </row>
    <row r="25" spans="1:10">
      <c r="A25" s="3626"/>
      <c r="B25" s="3626"/>
      <c r="C25" s="3626"/>
      <c r="D25" s="3626"/>
      <c r="E25" s="3626"/>
      <c r="F25" s="3626"/>
      <c r="G25" s="3626"/>
      <c r="H25" s="3626"/>
      <c r="I25" s="3626"/>
      <c r="J25" s="3626"/>
    </row>
    <row r="26" spans="1:10">
      <c r="A26" s="3626"/>
      <c r="B26" s="3626"/>
      <c r="C26" s="3626"/>
      <c r="D26" s="3626"/>
      <c r="E26" s="3626"/>
      <c r="F26" s="3626"/>
      <c r="G26" s="3626"/>
      <c r="H26" s="3626"/>
      <c r="I26" s="3626"/>
      <c r="J26" s="3626"/>
    </row>
    <row r="27" spans="1:10">
      <c r="A27" s="3626"/>
      <c r="B27" s="3626"/>
      <c r="C27" s="3626"/>
      <c r="D27" s="3626"/>
      <c r="E27" s="3626"/>
      <c r="F27" s="3626"/>
      <c r="G27" s="3626"/>
      <c r="H27" s="3626"/>
      <c r="I27" s="3626"/>
      <c r="J27" s="3626"/>
    </row>
    <row r="28" spans="1:10">
      <c r="A28" s="3626"/>
      <c r="B28" s="3626"/>
      <c r="C28" s="3626"/>
      <c r="D28" s="3626"/>
      <c r="E28" s="3626"/>
      <c r="F28" s="3626"/>
      <c r="G28" s="3626"/>
      <c r="H28" s="3626"/>
      <c r="I28" s="3626"/>
      <c r="J28" s="3626"/>
    </row>
    <row r="29" spans="1:10">
      <c r="A29" s="3626"/>
      <c r="B29" s="3626"/>
      <c r="C29" s="3626"/>
      <c r="D29" s="3626"/>
      <c r="E29" s="3626"/>
      <c r="F29" s="3626"/>
      <c r="G29" s="3626"/>
      <c r="H29" s="3626"/>
      <c r="I29" s="3626"/>
      <c r="J29" s="3626"/>
    </row>
    <row r="30" spans="1:10">
      <c r="A30" s="3626"/>
      <c r="B30" s="3626"/>
      <c r="C30" s="3626"/>
      <c r="D30" s="3626"/>
      <c r="E30" s="3626"/>
      <c r="F30" s="3626"/>
      <c r="G30" s="3626"/>
      <c r="H30" s="3626"/>
      <c r="I30" s="3626"/>
      <c r="J30" s="3626"/>
    </row>
    <row r="31" spans="1:10">
      <c r="A31" s="3626"/>
      <c r="B31" s="3626"/>
      <c r="C31" s="3626"/>
      <c r="D31" s="3626"/>
      <c r="E31" s="3626"/>
      <c r="F31" s="3626"/>
      <c r="G31" s="3626"/>
      <c r="H31" s="3626"/>
      <c r="I31" s="3626"/>
      <c r="J31" s="362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0" customWidth="1"/>
    <col min="2" max="16384" width="14.5" style="3549"/>
  </cols>
  <sheetData>
    <row r="1" s="3599" customFormat="1" ht="18.75" spans="1:1">
      <c r="A1" s="3601" t="s">
        <v>134</v>
      </c>
    </row>
    <row r="3" spans="1:7">
      <c r="A3" s="3602" t="s">
        <v>135</v>
      </c>
      <c r="B3" s="3549" t="s">
        <v>136</v>
      </c>
      <c r="G3" s="3603"/>
    </row>
    <row r="4" spans="7:7">
      <c r="G4" s="3603"/>
    </row>
    <row r="5" spans="1:7">
      <c r="A5" s="3604" t="s">
        <v>137</v>
      </c>
      <c r="B5" s="3549" t="s">
        <v>138</v>
      </c>
      <c r="G5" s="3603"/>
    </row>
    <row r="6" spans="7:7">
      <c r="G6" s="3603"/>
    </row>
    <row r="7" spans="1:7">
      <c r="A7" s="3605" t="s">
        <v>139</v>
      </c>
      <c r="B7" s="3549" t="s">
        <v>140</v>
      </c>
      <c r="G7" s="3603"/>
    </row>
    <row r="8" spans="7:7">
      <c r="G8" s="3603"/>
    </row>
    <row r="9" spans="1:2">
      <c r="A9" s="3606" t="s">
        <v>141</v>
      </c>
      <c r="B9" s="3549" t="s">
        <v>142</v>
      </c>
    </row>
    <row r="11" spans="1:2">
      <c r="A11" s="3607" t="s">
        <v>143</v>
      </c>
      <c r="B11" s="3608" t="s">
        <v>144</v>
      </c>
    </row>
    <row r="13" spans="1:1">
      <c r="A13" s="3609" t="s">
        <v>145</v>
      </c>
    </row>
    <row r="15" ht="13.5" spans="1:3">
      <c r="A15" s="3610" t="s">
        <v>146</v>
      </c>
      <c r="B15" s="3611" t="s">
        <v>147</v>
      </c>
      <c r="C15" s="3612"/>
    </row>
    <row r="16" ht="13.5" spans="1:3">
      <c r="A16" s="3613"/>
      <c r="B16" s="3611" t="s">
        <v>148</v>
      </c>
      <c r="C16" s="3612"/>
    </row>
    <row r="17" ht="13.5" spans="1:3">
      <c r="A17" s="3613"/>
      <c r="B17" s="3614" t="s">
        <v>149</v>
      </c>
      <c r="C17" s="3614" t="s">
        <v>146</v>
      </c>
    </row>
    <row r="18" ht="13.5" spans="1:3">
      <c r="A18" s="3613"/>
      <c r="B18" s="3614"/>
      <c r="C18" s="3614" t="s">
        <v>150</v>
      </c>
    </row>
    <row r="19" ht="13.5" spans="1:3">
      <c r="A19" s="3613"/>
      <c r="B19" s="3614"/>
      <c r="C19" s="3614" t="s">
        <v>151</v>
      </c>
    </row>
    <row r="20" ht="13.5" spans="1:3">
      <c r="A20" s="3615"/>
      <c r="B20" s="3616" t="s">
        <v>152</v>
      </c>
      <c r="C20" s="3612"/>
    </row>
    <row r="21" ht="13.5" spans="1:3">
      <c r="A21" s="3617" t="s">
        <v>153</v>
      </c>
      <c r="B21" s="3618"/>
      <c r="C21" s="3619"/>
    </row>
    <row r="22" ht="13.5" spans="1:3">
      <c r="A22" s="3620" t="s">
        <v>154</v>
      </c>
      <c r="B22" s="3616" t="s">
        <v>155</v>
      </c>
      <c r="C22" s="3612"/>
    </row>
    <row r="23" ht="13.5" spans="1:3">
      <c r="A23" s="3620"/>
      <c r="B23" s="3616" t="s">
        <v>156</v>
      </c>
      <c r="C23" s="3612"/>
    </row>
    <row r="24" ht="13.5" spans="1:3">
      <c r="A24" s="3620"/>
      <c r="B24" s="3616" t="s">
        <v>157</v>
      </c>
      <c r="C24" s="3612"/>
    </row>
    <row r="25" ht="13.5" spans="1:3">
      <c r="A25" s="3620"/>
      <c r="B25" s="3614" t="s">
        <v>158</v>
      </c>
      <c r="C25" s="3614" t="s">
        <v>159</v>
      </c>
    </row>
    <row r="26" ht="13.5" spans="1:3">
      <c r="A26" s="3620"/>
      <c r="B26" s="3614"/>
      <c r="C26" s="3614" t="s">
        <v>160</v>
      </c>
    </row>
    <row r="27" ht="13.5" spans="1:3">
      <c r="A27" s="3620"/>
      <c r="B27" s="3614"/>
      <c r="C27" s="3614" t="s">
        <v>161</v>
      </c>
    </row>
    <row r="28" ht="13.5" spans="1:3">
      <c r="A28" s="3620"/>
      <c r="B28" s="3614"/>
      <c r="C28" s="3614" t="s">
        <v>162</v>
      </c>
    </row>
    <row r="29" ht="13.5" spans="1:3">
      <c r="A29" s="3620"/>
      <c r="B29" s="3614"/>
      <c r="C29" s="3614" t="s">
        <v>163</v>
      </c>
    </row>
    <row r="30" ht="13.5" spans="1:3">
      <c r="A30" s="3620"/>
      <c r="B30" s="3614"/>
      <c r="C30" s="3614" t="s">
        <v>164</v>
      </c>
    </row>
    <row r="31" ht="13.5" spans="1:3">
      <c r="A31" s="3620"/>
      <c r="B31" s="3614"/>
      <c r="C31" s="3614" t="s">
        <v>165</v>
      </c>
    </row>
    <row r="32" ht="13.5" spans="1:3">
      <c r="A32" s="3620"/>
      <c r="B32" s="3614"/>
      <c r="C32" s="3614" t="s">
        <v>166</v>
      </c>
    </row>
    <row r="33" ht="13.5" spans="1:3">
      <c r="A33" s="3620"/>
      <c r="B33" s="3614"/>
      <c r="C33" s="3614" t="s">
        <v>167</v>
      </c>
    </row>
    <row r="34" spans="1:1">
      <c r="A34" s="3621" t="s">
        <v>168</v>
      </c>
    </row>
    <row r="37" spans="1:1">
      <c r="A37" s="3621" t="s">
        <v>169</v>
      </c>
    </row>
    <row r="38" ht="13.5" spans="1:1">
      <c r="A38" s="3622" t="s">
        <v>170</v>
      </c>
    </row>
    <row r="39" ht="13.5" spans="1:1">
      <c r="A39" s="3622" t="s">
        <v>171</v>
      </c>
    </row>
    <row r="40" ht="13.5" spans="1:1">
      <c r="A40" s="3622" t="s">
        <v>172</v>
      </c>
    </row>
    <row r="41" ht="13.5" spans="1:1">
      <c r="A41" s="3623" t="s">
        <v>173</v>
      </c>
    </row>
    <row r="42" ht="13.5" spans="1:1">
      <c r="A42" s="362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8" customWidth="1"/>
    <col min="2" max="2" width="38.625" style="3568" customWidth="1"/>
    <col min="3" max="3" width="26" style="3568" customWidth="1"/>
    <col min="4" max="4" width="35" style="3568" hidden="1" customWidth="1"/>
    <col min="5" max="5" width="30.125" style="3568" customWidth="1"/>
    <col min="6" max="6" width="35.5" style="3568" customWidth="1"/>
    <col min="7" max="7" width="31" style="3568" customWidth="1"/>
    <col min="8" max="8" width="37.5" style="3568" hidden="1" customWidth="1"/>
    <col min="9" max="16384" width="22.625" style="3568"/>
  </cols>
  <sheetData>
    <row r="1" customHeight="1" spans="1:8">
      <c r="A1" s="3569"/>
      <c r="B1" s="3569"/>
      <c r="C1" s="3569"/>
      <c r="D1" s="3569"/>
      <c r="E1" s="3569"/>
      <c r="F1" s="3569"/>
      <c r="G1" s="3569"/>
      <c r="H1" s="3569"/>
    </row>
    <row r="2" customHeight="1" spans="1:8">
      <c r="A2" s="3570" t="s">
        <v>175</v>
      </c>
      <c r="B2" s="3571">
        <f ca="1">TODAY()</f>
        <v>45092</v>
      </c>
      <c r="C2" s="3572" t="s">
        <v>176</v>
      </c>
      <c r="D2" s="3572"/>
      <c r="E2" s="3572"/>
      <c r="F2" s="3569"/>
      <c r="G2" s="3569"/>
      <c r="H2" s="3569"/>
    </row>
    <row r="3" customHeight="1" spans="1:8">
      <c r="A3" s="3573" t="s">
        <v>177</v>
      </c>
      <c r="B3" s="3574" t="s">
        <v>178</v>
      </c>
      <c r="C3" s="3574" t="s">
        <v>179</v>
      </c>
      <c r="D3" s="3575" t="s">
        <v>180</v>
      </c>
      <c r="E3" s="3576" t="s">
        <v>181</v>
      </c>
      <c r="F3" s="3577" t="s">
        <v>182</v>
      </c>
      <c r="G3" s="3574" t="s">
        <v>179</v>
      </c>
      <c r="H3" s="3575" t="s">
        <v>183</v>
      </c>
    </row>
    <row r="4" customHeight="1" spans="1:8">
      <c r="A4" s="3577" t="s">
        <v>184</v>
      </c>
      <c r="B4" s="3577">
        <f ca="1">IF(C4&lt;B2,"已过期",1119970066)</f>
        <v>1119970066</v>
      </c>
      <c r="C4" s="3578">
        <v>45937</v>
      </c>
      <c r="D4" s="3579" t="str">
        <f ca="1">A4&amp;"（注册号："&amp;B4&amp;"）"</f>
        <v>梁津（注册号：1119970066）</v>
      </c>
      <c r="E4" s="3580" t="s">
        <v>184</v>
      </c>
      <c r="F4" s="3577">
        <f ca="1">IF(G4&lt;B2,"已过期",96010014)</f>
        <v>96010014</v>
      </c>
      <c r="G4" s="3581">
        <v>47118</v>
      </c>
      <c r="H4" s="3582" t="str">
        <f ca="1">E4&amp;"（注册号："&amp;F4&amp;"）"</f>
        <v>梁津（注册号：96010014）</v>
      </c>
    </row>
    <row r="5" customHeight="1" spans="1:8">
      <c r="A5" s="3577" t="s">
        <v>185</v>
      </c>
      <c r="B5" s="3577">
        <f ca="1">IF(C5&lt;B2,"已过期",1119970111)</f>
        <v>1119970111</v>
      </c>
      <c r="C5" s="3578">
        <v>45937</v>
      </c>
      <c r="D5" s="3579" t="str">
        <f ca="1" t="shared" ref="D5:D16" si="0">A5&amp;"（注册号："&amp;B5&amp;"）"</f>
        <v>叶凌（注册号：1119970111）</v>
      </c>
      <c r="E5" s="3580" t="s">
        <v>185</v>
      </c>
      <c r="F5" s="3577">
        <f ca="1">IF(G5&lt;B2,"已过期",94010078)</f>
        <v>94010078</v>
      </c>
      <c r="G5" s="3581">
        <v>46387</v>
      </c>
      <c r="H5" s="3582" t="str">
        <f ca="1" t="shared" ref="H5:H16" si="1">E5&amp;"（注册号："&amp;F5&amp;"）"</f>
        <v>叶凌（注册号：94010078）</v>
      </c>
    </row>
    <row r="6" customHeight="1" spans="1:8">
      <c r="A6" s="3577" t="s">
        <v>186</v>
      </c>
      <c r="B6" s="3577">
        <f ca="1">IF(C6&lt;B2,"已过期",1120050019)</f>
        <v>1120050019</v>
      </c>
      <c r="C6" s="3578">
        <v>45410</v>
      </c>
      <c r="D6" s="3579" t="str">
        <f ca="1" t="shared" si="0"/>
        <v>王鹏（注册号：1120050019）</v>
      </c>
      <c r="E6" s="3580" t="s">
        <v>186</v>
      </c>
      <c r="F6" s="3577">
        <f ca="1">IF(G6&lt;B2,"已过期",2002110030)</f>
        <v>2002110030</v>
      </c>
      <c r="G6" s="3581">
        <v>46387</v>
      </c>
      <c r="H6" s="3582" t="str">
        <f ca="1" t="shared" si="1"/>
        <v>王鹏（注册号：2002110030）</v>
      </c>
    </row>
    <row r="7" customHeight="1" spans="1:8">
      <c r="A7" s="3577" t="s">
        <v>187</v>
      </c>
      <c r="B7" s="3577">
        <f ca="1">IF(C7&lt;B2,"已过期",1120000080)</f>
        <v>1120000080</v>
      </c>
      <c r="C7" s="3578">
        <v>45937</v>
      </c>
      <c r="D7" s="3579" t="str">
        <f ca="1" t="shared" si="0"/>
        <v>欧红伟（注册号：1120000080）</v>
      </c>
      <c r="E7" s="3580" t="s">
        <v>187</v>
      </c>
      <c r="F7" s="3577">
        <f ca="1">IF(G7&lt;B2,"已过期",2000110082)</f>
        <v>2000110082</v>
      </c>
      <c r="G7" s="3581">
        <v>46387</v>
      </c>
      <c r="H7" s="3582" t="str">
        <f ca="1" t="shared" si="1"/>
        <v>欧红伟（注册号：2000110082）</v>
      </c>
    </row>
    <row r="8" customHeight="1" spans="1:8">
      <c r="A8" s="3577" t="s">
        <v>188</v>
      </c>
      <c r="B8" s="3577">
        <f ca="1">IF(C8&lt;B2,"已过期",1419970001)</f>
        <v>1419970001</v>
      </c>
      <c r="C8" s="3578">
        <v>45937</v>
      </c>
      <c r="D8" s="3579" t="str">
        <f ca="1" t="shared" si="0"/>
        <v>吴薇（注册号：1419970001）</v>
      </c>
      <c r="E8" s="3580" t="s">
        <v>188</v>
      </c>
      <c r="F8" s="3577">
        <f ca="1">IF(G8&lt;B2,"已过期",2002110125)</f>
        <v>2002110125</v>
      </c>
      <c r="G8" s="3581">
        <v>47118</v>
      </c>
      <c r="H8" s="3582" t="str">
        <f ca="1" t="shared" si="1"/>
        <v>吴薇（注册号：2002110125）</v>
      </c>
    </row>
    <row r="9" customHeight="1" spans="1:8">
      <c r="A9" s="3577" t="s">
        <v>189</v>
      </c>
      <c r="B9" s="3577">
        <f ca="1">IF(C9&lt;B2,"已过期",1120060040)</f>
        <v>1120060040</v>
      </c>
      <c r="C9" s="3583">
        <v>45592</v>
      </c>
      <c r="D9" s="3579" t="str">
        <f ca="1" t="shared" si="0"/>
        <v>陈颖（注册号：1120060040）</v>
      </c>
      <c r="E9" s="3580" t="s">
        <v>189</v>
      </c>
      <c r="F9" s="3577">
        <f ca="1">IF(G9&lt;B2,"已过期",2004110096)</f>
        <v>2004110096</v>
      </c>
      <c r="G9" s="3581">
        <v>47118</v>
      </c>
      <c r="H9" s="3582" t="str">
        <f ca="1" t="shared" si="1"/>
        <v>陈颖（注册号：2004110096）</v>
      </c>
    </row>
    <row r="10" customHeight="1" spans="1:8">
      <c r="A10" s="3577" t="s">
        <v>190</v>
      </c>
      <c r="B10" s="3577">
        <f ca="1">IF(C10&lt;B2,"已过期",1120100036)</f>
        <v>1120100036</v>
      </c>
      <c r="C10" s="3583">
        <v>45752</v>
      </c>
      <c r="D10" s="3579" t="str">
        <f ca="1" t="shared" si="0"/>
        <v>崔锴（注册号：1120100036）</v>
      </c>
      <c r="E10" s="3580" t="s">
        <v>190</v>
      </c>
      <c r="F10" s="3577">
        <f ca="1">IF(G10&lt;B2,"已过期",2010110070)</f>
        <v>2010110070</v>
      </c>
      <c r="G10" s="3581">
        <v>47907</v>
      </c>
      <c r="H10" s="3582" t="str">
        <f ca="1" t="shared" si="1"/>
        <v>崔锴（注册号：2010110070）</v>
      </c>
    </row>
    <row r="11" customHeight="1" spans="1:8">
      <c r="A11" s="3577" t="s">
        <v>191</v>
      </c>
      <c r="B11" s="3577">
        <f ca="1">IF(C11&lt;B2,"已过期",1120070131)</f>
        <v>1120070131</v>
      </c>
      <c r="C11" s="3578">
        <v>45937</v>
      </c>
      <c r="D11" s="3579" t="str">
        <f ca="1" t="shared" si="0"/>
        <v>郑燚（注册号：1120070131）</v>
      </c>
      <c r="E11" s="3580" t="s">
        <v>191</v>
      </c>
      <c r="F11" s="3577">
        <f ca="1">IF(G11&lt;B2,"已过期",2014110011)</f>
        <v>2014110011</v>
      </c>
      <c r="G11" s="3581">
        <v>49302</v>
      </c>
      <c r="H11" s="3582" t="str">
        <f ca="1" t="shared" si="1"/>
        <v>郑燚（注册号：2014110011）</v>
      </c>
    </row>
    <row r="12" customHeight="1" spans="1:8">
      <c r="A12" s="3577" t="s">
        <v>192</v>
      </c>
      <c r="B12" s="3577">
        <f ca="1">IF(C12&lt;B2,"已过期",1120040230)</f>
        <v>1120040230</v>
      </c>
      <c r="C12" s="3583">
        <v>45937</v>
      </c>
      <c r="D12" s="3579" t="str">
        <f ca="1" t="shared" si="0"/>
        <v>苏海（注册号：1120040230）</v>
      </c>
      <c r="E12" s="3580" t="s">
        <v>192</v>
      </c>
      <c r="F12" s="3577">
        <f ca="1">IF(G12&lt;B2,"已过期",98030020)</f>
        <v>98030020</v>
      </c>
      <c r="G12" s="3581">
        <v>47118</v>
      </c>
      <c r="H12" s="3582" t="str">
        <f ca="1" t="shared" si="1"/>
        <v>苏海（注册号：98030020）</v>
      </c>
    </row>
    <row r="13" customHeight="1" spans="1:8">
      <c r="A13" s="3577" t="s">
        <v>193</v>
      </c>
      <c r="B13" s="3577">
        <f ca="1">IF(C13&lt;B2,"已过期",1120020033)</f>
        <v>1120020033</v>
      </c>
      <c r="C13" s="3578">
        <v>45375</v>
      </c>
      <c r="D13" s="3579" t="str">
        <f ca="1" t="shared" si="0"/>
        <v>刘敬东（注册号：1120020033）</v>
      </c>
      <c r="E13" s="3580" t="s">
        <v>193</v>
      </c>
      <c r="F13" s="3577">
        <f ca="1">IF(G13&lt;B2,"已过期",2000110137)</f>
        <v>2000110137</v>
      </c>
      <c r="G13" s="3581">
        <v>46387</v>
      </c>
      <c r="H13" s="3582" t="str">
        <f ca="1" t="shared" si="1"/>
        <v>刘敬东（注册号：2000110137）</v>
      </c>
    </row>
    <row r="14" customHeight="1" spans="1:8">
      <c r="A14" s="3577" t="s">
        <v>194</v>
      </c>
      <c r="B14" s="3577" t="str">
        <f ca="1">IF(C14&lt;B2,"已过期",1119980106)</f>
        <v>已过期</v>
      </c>
      <c r="C14" s="3583">
        <v>44969</v>
      </c>
      <c r="D14" s="3579" t="str">
        <f ca="1" t="shared" si="0"/>
        <v>刘俊财（注册号：已过期）</v>
      </c>
      <c r="E14" s="3580" t="s">
        <v>194</v>
      </c>
      <c r="F14" s="3577">
        <f ca="1">IF(G14&lt;B2,"已过期",96010063)</f>
        <v>96010063</v>
      </c>
      <c r="G14" s="3581">
        <v>47483</v>
      </c>
      <c r="H14" s="3582" t="str">
        <f ca="1" t="shared" si="1"/>
        <v>刘俊财（注册号：96010063）</v>
      </c>
    </row>
    <row r="15" customHeight="1" spans="1:8">
      <c r="A15" s="3577" t="s">
        <v>195</v>
      </c>
      <c r="B15" s="3577">
        <v>1120210056</v>
      </c>
      <c r="C15" s="3583">
        <v>45410</v>
      </c>
      <c r="D15" s="3579" t="str">
        <f t="shared" si="0"/>
        <v>宁小鳗（注册号：1120210056）</v>
      </c>
      <c r="E15" s="3580" t="s">
        <v>196</v>
      </c>
      <c r="F15" s="3577">
        <f ca="1">IF(G15&lt;B2,"已过期",2011110090)</f>
        <v>2011110090</v>
      </c>
      <c r="G15" s="3581">
        <v>48302</v>
      </c>
      <c r="H15" s="3582" t="str">
        <f ca="1" t="shared" si="1"/>
        <v>赵雯（注册号：2011110090）</v>
      </c>
    </row>
    <row r="16" s="3566" customFormat="1" customHeight="1" spans="1:8">
      <c r="A16" s="3577"/>
      <c r="B16" s="3577"/>
      <c r="C16" s="3577"/>
      <c r="D16" s="3579" t="str">
        <f t="shared" si="0"/>
        <v>（注册号：）</v>
      </c>
      <c r="E16" s="3580"/>
      <c r="F16" s="3577"/>
      <c r="G16" s="3577"/>
      <c r="H16" s="3584" t="str">
        <f t="shared" si="1"/>
        <v>（注册号：）</v>
      </c>
    </row>
    <row r="17" customHeight="1" spans="1:8">
      <c r="A17" s="3585" t="s">
        <v>197</v>
      </c>
      <c r="B17" s="3585"/>
      <c r="C17" s="3585"/>
      <c r="D17" s="3585"/>
      <c r="E17" s="3585"/>
      <c r="F17" s="3585"/>
      <c r="G17" s="3585"/>
      <c r="H17" s="3585"/>
    </row>
    <row r="18" customHeight="1" spans="1:7">
      <c r="A18" s="3574" t="s">
        <v>198</v>
      </c>
      <c r="B18" s="3574"/>
      <c r="C18" s="3574"/>
      <c r="D18" s="3575"/>
      <c r="E18" s="3586" t="s">
        <v>199</v>
      </c>
      <c r="F18" s="3574"/>
      <c r="G18" s="3574"/>
    </row>
    <row r="19" s="3567" customFormat="1" customHeight="1" spans="1:7">
      <c r="A19" s="3587" t="s">
        <v>200</v>
      </c>
      <c r="B19" s="3574" t="s">
        <v>201</v>
      </c>
      <c r="C19" s="3574" t="s">
        <v>179</v>
      </c>
      <c r="D19" s="3575"/>
      <c r="E19" s="3580" t="s">
        <v>200</v>
      </c>
      <c r="F19" s="3574" t="s">
        <v>201</v>
      </c>
      <c r="G19" s="3574" t="s">
        <v>179</v>
      </c>
    </row>
    <row r="20" s="3567" customFormat="1" customHeight="1" spans="1:7">
      <c r="A20" s="3588" t="s">
        <v>202</v>
      </c>
      <c r="B20" s="3588" t="s">
        <v>203</v>
      </c>
      <c r="C20" s="3581">
        <v>45898</v>
      </c>
      <c r="D20" s="3589"/>
      <c r="E20" s="3590" t="s">
        <v>204</v>
      </c>
      <c r="F20" s="3591" t="s">
        <v>205</v>
      </c>
      <c r="G20" s="3592">
        <v>44926</v>
      </c>
    </row>
    <row r="21" s="3567" customFormat="1" customHeight="1" spans="1:7">
      <c r="A21" s="3588"/>
      <c r="B21" s="3588"/>
      <c r="C21" s="3593"/>
      <c r="D21" s="3594"/>
      <c r="E21" s="3590"/>
      <c r="F21" s="3591"/>
      <c r="G21" s="3592"/>
    </row>
    <row r="22" customHeight="1" spans="3:7">
      <c r="C22" s="3595"/>
      <c r="D22" s="3595"/>
      <c r="E22" s="3596"/>
      <c r="F22" s="3597"/>
      <c r="G22" s="359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案例</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2023-06-15T05:59:20Z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CACBEECD0F4D40B5B6FE7D17E9FD51B6_13</vt:lpwstr>
  </property>
  <property fmtid="{D5CDD505-2E9C-101B-9397-08002B2CF9AE}" pid="3" name="KSOProductBuildVer">
    <vt:lpwstr>2052-11.1.0.14309</vt:lpwstr>
  </property>
  <property fmtid="{D5CDD505-2E9C-101B-9397-08002B2CF9AE}" pid="4" name="KSOReadingLayout">
    <vt:bool>false</vt:bool>
  </property>
</Properties>
</file>